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2015"/>
  </bookViews>
  <sheets>
    <sheet name="Reclassification Statement" sheetId="4" r:id="rId1"/>
    <sheet name="Consolid Statements of Income" sheetId="1" r:id="rId2"/>
    <sheet name="Segments" sheetId="3" r:id="rId3"/>
  </sheets>
  <definedNames>
    <definedName name="_xlnm.Print_Area" localSheetId="1">'Consolid Statements of Income'!#REF!</definedName>
    <definedName name="_xlnm.Print_Area" localSheetId="0">'Reclassification Statement'!$A$1:$C$17</definedName>
    <definedName name="_xlnm.Print_Area" localSheetId="2">Segments!$A$1:$S$48</definedName>
  </definedNames>
  <calcPr calcId="145621"/>
</workbook>
</file>

<file path=xl/calcChain.xml><?xml version="1.0" encoding="utf-8"?>
<calcChain xmlns="http://schemas.openxmlformats.org/spreadsheetml/2006/main">
  <c r="J56" i="1" l="1"/>
  <c r="J53" i="1"/>
  <c r="W53" i="1"/>
  <c r="W56" i="1"/>
  <c r="W49" i="1"/>
  <c r="W44" i="1"/>
  <c r="W40" i="1"/>
  <c r="W38" i="1"/>
  <c r="W25" i="1"/>
  <c r="Q11" i="1"/>
  <c r="Q12" i="1"/>
  <c r="Q22" i="1"/>
  <c r="Q25" i="1"/>
  <c r="Q34" i="1"/>
  <c r="Q36" i="1"/>
  <c r="Q38" i="1"/>
  <c r="Q40" i="1"/>
  <c r="Q44" i="1"/>
  <c r="Q47" i="1"/>
  <c r="Q56" i="1"/>
  <c r="Q49" i="1"/>
  <c r="Q53" i="1"/>
  <c r="P34" i="1"/>
  <c r="P16" i="1"/>
  <c r="P14" i="1"/>
  <c r="O53" i="1"/>
  <c r="O56" i="1"/>
  <c r="O49" i="1"/>
  <c r="O44" i="1"/>
  <c r="O40" i="1"/>
  <c r="O36" i="1"/>
  <c r="O34" i="1"/>
  <c r="N53" i="1"/>
  <c r="N56" i="1"/>
  <c r="N49" i="1"/>
  <c r="N44" i="1"/>
  <c r="N40" i="1"/>
  <c r="N36" i="1"/>
  <c r="N34" i="1"/>
  <c r="M53" i="1"/>
  <c r="M54" i="1"/>
  <c r="M56" i="1"/>
  <c r="M49" i="1"/>
  <c r="M44" i="1"/>
  <c r="M42" i="1"/>
  <c r="K47" i="1"/>
  <c r="K44" i="1"/>
  <c r="K40" i="1"/>
  <c r="K27" i="1"/>
  <c r="K25" i="1"/>
  <c r="K24" i="1"/>
  <c r="K21" i="1"/>
  <c r="K14" i="1"/>
  <c r="J49" i="1"/>
  <c r="J44" i="1"/>
  <c r="J40" i="1"/>
  <c r="J36" i="1"/>
  <c r="J34" i="1"/>
  <c r="J16" i="1"/>
  <c r="J14" i="1"/>
  <c r="I53" i="1"/>
  <c r="I56" i="1"/>
  <c r="I49" i="1"/>
  <c r="I44" i="1"/>
  <c r="I40" i="1"/>
  <c r="I36" i="1"/>
  <c r="I34" i="1"/>
  <c r="H53" i="1"/>
  <c r="H56" i="1"/>
  <c r="H49" i="1"/>
  <c r="H44" i="1"/>
  <c r="H40" i="1"/>
  <c r="H36" i="1"/>
  <c r="H34" i="1"/>
  <c r="E53" i="1"/>
  <c r="E56" i="1"/>
  <c r="E49" i="1"/>
  <c r="E44" i="1"/>
  <c r="E40" i="1"/>
  <c r="E36" i="1"/>
  <c r="E34" i="1"/>
  <c r="E31" i="1"/>
  <c r="E27" i="1"/>
  <c r="E21" i="1"/>
  <c r="E19" i="1"/>
  <c r="E12" i="1"/>
  <c r="E11" i="1"/>
  <c r="D53" i="1"/>
  <c r="D56" i="1"/>
  <c r="D49" i="1"/>
  <c r="D44" i="1"/>
  <c r="D40" i="1"/>
  <c r="D38" i="1"/>
  <c r="D36" i="1"/>
  <c r="D34" i="1"/>
  <c r="C56" i="1"/>
  <c r="C49" i="1"/>
  <c r="S44" i="3" l="1"/>
  <c r="S21" i="3"/>
  <c r="Q12" i="3"/>
  <c r="Q10" i="3"/>
  <c r="P21" i="3"/>
  <c r="H44" i="3"/>
  <c r="I44" i="3"/>
  <c r="J44" i="3"/>
  <c r="K44" i="3"/>
  <c r="K32" i="3"/>
  <c r="I21" i="3"/>
  <c r="J21" i="3"/>
  <c r="K19" i="3"/>
  <c r="K21" i="3"/>
  <c r="C44" i="3"/>
  <c r="D44" i="3"/>
  <c r="E44" i="3"/>
  <c r="E29" i="3"/>
  <c r="E19" i="3"/>
  <c r="E15" i="3"/>
</calcChain>
</file>

<file path=xl/sharedStrings.xml><?xml version="1.0" encoding="utf-8"?>
<sst xmlns="http://schemas.openxmlformats.org/spreadsheetml/2006/main" count="125" uniqueCount="83">
  <si>
    <t>Pitney Bowes Inc.</t>
  </si>
  <si>
    <t>(Unaudited)</t>
  </si>
  <si>
    <t>Q1</t>
  </si>
  <si>
    <t>Q2</t>
  </si>
  <si>
    <t>YTD 6/30</t>
  </si>
  <si>
    <t>Q3</t>
  </si>
  <si>
    <t>Q4</t>
  </si>
  <si>
    <t>Annual</t>
  </si>
  <si>
    <t>Revenue:</t>
  </si>
  <si>
    <t>Equipment sales</t>
  </si>
  <si>
    <t>Supplies</t>
  </si>
  <si>
    <t>Software</t>
  </si>
  <si>
    <t>Rentals</t>
  </si>
  <si>
    <t>Financing</t>
  </si>
  <si>
    <t>Support services</t>
  </si>
  <si>
    <t>Business services</t>
  </si>
  <si>
    <t xml:space="preserve">      Total revenue</t>
  </si>
  <si>
    <t>Costs and expenses:</t>
  </si>
  <si>
    <t>Cost of equipment sales</t>
  </si>
  <si>
    <t>Cost of supplies</t>
  </si>
  <si>
    <t>Cost of software</t>
  </si>
  <si>
    <t>Cost of rentals</t>
  </si>
  <si>
    <t>Financing interest expense</t>
  </si>
  <si>
    <t>Cost of support services</t>
  </si>
  <si>
    <t>Cost of business services</t>
  </si>
  <si>
    <t>Selling, general and administrative</t>
  </si>
  <si>
    <t>Research and development</t>
  </si>
  <si>
    <t>Restructuring charges and asset impairments</t>
  </si>
  <si>
    <t>Goodwill impairment</t>
  </si>
  <si>
    <t>Other interest expense</t>
  </si>
  <si>
    <t>Interest income</t>
  </si>
  <si>
    <t>Other income, net</t>
  </si>
  <si>
    <t xml:space="preserve">     Total costs and expenses</t>
  </si>
  <si>
    <t>Income from continuing operations before income taxes</t>
  </si>
  <si>
    <t xml:space="preserve">Income from continuing operations </t>
  </si>
  <si>
    <t>Income (loss) from discontinued operations, net of income tax</t>
  </si>
  <si>
    <t>Net income (loss) before attribution of noncontrolling interests</t>
  </si>
  <si>
    <t>Less:  Preferred stock dividends of subsidiaries attributable</t>
  </si>
  <si>
    <t xml:space="preserve">     to noncontrolling interests</t>
  </si>
  <si>
    <t>Net income (loss) - Pitney Bowes Inc.</t>
  </si>
  <si>
    <t>Amounts attributable to common stockholders:</t>
  </si>
  <si>
    <t>Income from continuing operations</t>
  </si>
  <si>
    <t>Income (loss) from discontinued operations</t>
  </si>
  <si>
    <t>Net (loss) income - Pitney Bowes Inc.</t>
  </si>
  <si>
    <t>Continuing operations</t>
  </si>
  <si>
    <t>Discontinued operations</t>
  </si>
  <si>
    <t>(1)</t>
  </si>
  <si>
    <t>Revenue and EBIT</t>
  </si>
  <si>
    <t>Revenue</t>
  </si>
  <si>
    <t>North America Mailing</t>
  </si>
  <si>
    <t>International Mailing</t>
  </si>
  <si>
    <t xml:space="preserve">   Small &amp; Medium Business Solutions</t>
  </si>
  <si>
    <t>Production Mail</t>
  </si>
  <si>
    <t>Management Services</t>
  </si>
  <si>
    <t>Mail Services</t>
  </si>
  <si>
    <t>Marketing Services</t>
  </si>
  <si>
    <t xml:space="preserve">   Enterprise Business Solutions</t>
  </si>
  <si>
    <t>Total Revenue</t>
  </si>
  <si>
    <t>EBIT (1)</t>
  </si>
  <si>
    <t>Total EBIT</t>
  </si>
  <si>
    <t>Unallocated amounts:</t>
  </si>
  <si>
    <t>Corporate and other expenses</t>
  </si>
  <si>
    <t>Interest, net (2)</t>
  </si>
  <si>
    <t>Restructuring Charges and Asset Impairments</t>
  </si>
  <si>
    <t>Goodwill Impairment</t>
  </si>
  <si>
    <t>Income from continuing operations before taxes</t>
  </si>
  <si>
    <t xml:space="preserve">(1)  Earnings before interest and taxes (EBIT) excludes general corporate expenses, restructuring charges and asset impairments and goodwill impairments. </t>
  </si>
  <si>
    <t>(2)  Interest, net includes financing interest expense, other interest expense and interest income.</t>
  </si>
  <si>
    <t>(Dollars in thousands) (3)</t>
  </si>
  <si>
    <t>(3)  Amounts may not add due to rounding.</t>
  </si>
  <si>
    <t>Pro Forma Business Segments - Reclassified Management Services North America to Discontinued Operations</t>
  </si>
  <si>
    <t>(Dollars in thousands, except per share data) (1)</t>
  </si>
  <si>
    <t>Provision (benefit) for income taxes</t>
  </si>
  <si>
    <t>Basic earnings per share attributable to common stockholders (1):</t>
  </si>
  <si>
    <t>Diluted earnings per share attributable to common stockholders (1):</t>
  </si>
  <si>
    <t>Amounts may not add due to rouunding.</t>
  </si>
  <si>
    <t>Weighted average shares used in Basic EPS</t>
  </si>
  <si>
    <t>Weighted average shares used in Diluted EPS</t>
  </si>
  <si>
    <t>Pro Forma Consolidated Statements of Income - Reclassified Management Services North America to Discontinued Operations</t>
  </si>
  <si>
    <t>Reclassification Statement</t>
  </si>
  <si>
    <t>The European operations of Pitney Bowes Management Services have already been reclassified to discontinued operations in the Company's second quarter 2013 reported results and Form 10-Q.</t>
  </si>
  <si>
    <t>The North America Pitney Bowes Management Services business will be reflected as a discontinued operation in the Company's Form 10-Q for the third quarter 2013.</t>
  </si>
  <si>
    <t>This financial information is being presented on a "pro forma" basis, as if the North America Pitney Bowes Management Services business was also reflected as a discontinued operation in the second quarter 2013.  Pro forma amounts for the prior periods have been reclassified to conform to this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</si>
</sst>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vertAlign val="superscript"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u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49" fontId="4" fillId="0" borderId="0" xfId="1" applyNumberFormat="1" applyFon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165" fontId="4" fillId="0" borderId="0" xfId="1" applyNumberFormat="1" applyFont="1" applyFill="1" applyBorder="1"/>
    <xf numFmtId="165" fontId="4" fillId="0" borderId="3" xfId="1" applyNumberFormat="1" applyFont="1" applyFill="1" applyBorder="1"/>
    <xf numFmtId="49" fontId="2" fillId="0" borderId="0" xfId="1" applyNumberFormat="1" applyFont="1" applyFill="1" applyBorder="1"/>
    <xf numFmtId="165" fontId="4" fillId="0" borderId="1" xfId="1" applyNumberFormat="1" applyFont="1" applyFill="1" applyBorder="1"/>
    <xf numFmtId="0" fontId="2" fillId="0" borderId="0" xfId="0" applyFont="1" applyFill="1" applyBorder="1"/>
    <xf numFmtId="165" fontId="2" fillId="0" borderId="0" xfId="1" applyNumberFormat="1" applyFont="1" applyFill="1" applyBorder="1"/>
    <xf numFmtId="0" fontId="6" fillId="0" borderId="0" xfId="0" applyFont="1" applyFill="1" applyBorder="1"/>
    <xf numFmtId="164" fontId="4" fillId="0" borderId="4" xfId="2" applyNumberFormat="1" applyFont="1" applyFill="1" applyBorder="1"/>
    <xf numFmtId="44" fontId="4" fillId="0" borderId="0" xfId="2" applyNumberFormat="1" applyFont="1" applyFill="1" applyBorder="1"/>
    <xf numFmtId="43" fontId="4" fillId="0" borderId="0" xfId="1" applyFont="1" applyFill="1" applyBorder="1"/>
    <xf numFmtId="44" fontId="4" fillId="0" borderId="4" xfId="2" applyFont="1" applyFill="1" applyBorder="1"/>
    <xf numFmtId="43" fontId="4" fillId="0" borderId="0" xfId="2" applyNumberFormat="1" applyFont="1" applyFill="1" applyBorder="1"/>
    <xf numFmtId="44" fontId="2" fillId="0" borderId="0" xfId="2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10" fillId="0" borderId="0" xfId="0" applyFont="1" applyBorder="1" applyAlignment="1"/>
    <xf numFmtId="0" fontId="11" fillId="0" borderId="0" xfId="0" applyFont="1" applyBorder="1"/>
    <xf numFmtId="165" fontId="13" fillId="0" borderId="0" xfId="3" applyNumberFormat="1" applyFont="1" applyFill="1" applyBorder="1" applyAlignment="1">
      <alignment horizontal="centerContinuous"/>
    </xf>
    <xf numFmtId="165" fontId="10" fillId="0" borderId="0" xfId="3" applyNumberFormat="1" applyFont="1" applyFill="1"/>
    <xf numFmtId="0" fontId="10" fillId="0" borderId="0" xfId="0" applyFont="1"/>
    <xf numFmtId="0" fontId="10" fillId="0" borderId="0" xfId="0" applyFont="1" applyFill="1"/>
    <xf numFmtId="165" fontId="13" fillId="0" borderId="0" xfId="3" applyNumberFormat="1" applyFont="1" applyFill="1" applyBorder="1" applyAlignment="1">
      <alignment horizontal="center"/>
    </xf>
    <xf numFmtId="0" fontId="14" fillId="0" borderId="0" xfId="0" applyFont="1"/>
    <xf numFmtId="42" fontId="10" fillId="0" borderId="0" xfId="2" applyNumberFormat="1" applyFont="1" applyFill="1" applyBorder="1"/>
    <xf numFmtId="0" fontId="10" fillId="0" borderId="0" xfId="0" quotePrefix="1" applyFont="1" applyFill="1"/>
    <xf numFmtId="0" fontId="13" fillId="0" borderId="0" xfId="0" quotePrefix="1" applyFont="1" applyFill="1"/>
    <xf numFmtId="165" fontId="13" fillId="0" borderId="0" xfId="3" applyNumberFormat="1" applyFont="1" applyFill="1" applyBorder="1"/>
    <xf numFmtId="165" fontId="10" fillId="0" borderId="0" xfId="3" applyNumberFormat="1" applyFont="1" applyFill="1" applyBorder="1"/>
    <xf numFmtId="0" fontId="13" fillId="0" borderId="0" xfId="0" applyFont="1" applyFill="1"/>
    <xf numFmtId="42" fontId="13" fillId="0" borderId="0" xfId="2" applyNumberFormat="1" applyFont="1" applyFill="1" applyBorder="1"/>
    <xf numFmtId="42" fontId="10" fillId="0" borderId="0" xfId="3" applyNumberFormat="1" applyFont="1" applyFill="1"/>
    <xf numFmtId="165" fontId="13" fillId="0" borderId="0" xfId="3" quotePrefix="1" applyNumberFormat="1" applyFont="1" applyFill="1" applyBorder="1" applyAlignment="1">
      <alignment horizontal="center"/>
    </xf>
    <xf numFmtId="0" fontId="14" fillId="0" borderId="0" xfId="4" applyFont="1" applyFill="1"/>
    <xf numFmtId="37" fontId="10" fillId="0" borderId="0" xfId="2" applyNumberFormat="1" applyFont="1" applyFill="1" applyBorder="1"/>
    <xf numFmtId="0" fontId="13" fillId="0" borderId="0" xfId="0" applyFont="1" applyFill="1" applyAlignment="1">
      <alignment horizontal="left" indent="2"/>
    </xf>
    <xf numFmtId="0" fontId="13" fillId="0" borderId="0" xfId="0" applyFont="1"/>
    <xf numFmtId="41" fontId="10" fillId="0" borderId="0" xfId="2" applyNumberFormat="1" applyFont="1" applyFill="1" applyBorder="1"/>
    <xf numFmtId="41" fontId="10" fillId="0" borderId="0" xfId="3" applyNumberFormat="1" applyFont="1" applyFill="1"/>
    <xf numFmtId="165" fontId="13" fillId="0" borderId="0" xfId="3" applyNumberFormat="1" applyFont="1" applyFill="1"/>
    <xf numFmtId="0" fontId="15" fillId="0" borderId="0" xfId="0" quotePrefix="1" applyFont="1"/>
    <xf numFmtId="0" fontId="13" fillId="0" borderId="1" xfId="3" applyNumberFormat="1" applyFont="1" applyFill="1" applyBorder="1" applyAlignment="1">
      <alignment horizontal="centerContinuous"/>
    </xf>
    <xf numFmtId="165" fontId="13" fillId="0" borderId="1" xfId="3" applyNumberFormat="1" applyFont="1" applyFill="1" applyBorder="1" applyAlignment="1">
      <alignment horizontal="centerContinuous"/>
    </xf>
    <xf numFmtId="0" fontId="0" fillId="0" borderId="0" xfId="0" applyFill="1"/>
    <xf numFmtId="165" fontId="13" fillId="0" borderId="2" xfId="3" applyNumberFormat="1" applyFont="1" applyFill="1" applyBorder="1" applyAlignment="1">
      <alignment horizontal="center"/>
    </xf>
    <xf numFmtId="165" fontId="13" fillId="0" borderId="2" xfId="3" applyNumberFormat="1" applyFont="1" applyFill="1" applyBorder="1"/>
    <xf numFmtId="42" fontId="13" fillId="0" borderId="4" xfId="2" applyNumberFormat="1" applyFont="1" applyFill="1" applyBorder="1"/>
    <xf numFmtId="165" fontId="13" fillId="0" borderId="1" xfId="3" applyNumberFormat="1" applyFont="1" applyFill="1" applyBorder="1"/>
    <xf numFmtId="41" fontId="4" fillId="0" borderId="0" xfId="2" applyNumberFormat="1" applyFont="1" applyFill="1" applyBorder="1"/>
    <xf numFmtId="42" fontId="13" fillId="0" borderId="5" xfId="3" applyNumberFormat="1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1" quotePrefix="1" applyNumberFormat="1" applyFont="1" applyFill="1" applyBorder="1"/>
    <xf numFmtId="41" fontId="16" fillId="0" borderId="0" xfId="0" applyNumberFormat="1" applyFont="1"/>
    <xf numFmtId="0" fontId="16" fillId="0" borderId="0" xfId="0" applyFont="1"/>
    <xf numFmtId="0" fontId="1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15" fillId="0" borderId="0" xfId="0" applyFont="1" applyAlignment="1">
      <alignment wrapText="1"/>
    </xf>
  </cellXfs>
  <cellStyles count="6">
    <cellStyle name="Comma" xfId="1" builtinId="3"/>
    <cellStyle name="Comma 2" xfId="5"/>
    <cellStyle name="Comma 5" xfId="3"/>
    <cellStyle name="Currency" xfId="2" builtinId="4"/>
    <cellStyle name="Normal" xfId="0" builtinId="0"/>
    <cellStyle name="Normal_June 26 Communicatio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13"/>
  <sheetViews>
    <sheetView tabSelected="1" zoomScaleNormal="100" workbookViewId="0">
      <selection activeCell="E4" sqref="E4"/>
    </sheetView>
  </sheetViews>
  <sheetFormatPr defaultRowHeight="23.25" x14ac:dyDescent="0.35"/>
  <cols>
    <col min="1" max="1" width="154.42578125" style="70" customWidth="1"/>
    <col min="2" max="16384" width="9.140625" style="70"/>
  </cols>
  <sheetData>
    <row r="4" spans="1:17" x14ac:dyDescent="0.35">
      <c r="A4" s="68" t="s">
        <v>79</v>
      </c>
      <c r="B4" s="68"/>
      <c r="C4" s="68"/>
      <c r="D4" s="6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74"/>
      <c r="Q4" s="74"/>
    </row>
    <row r="5" spans="1:17" x14ac:dyDescent="0.3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4"/>
      <c r="Q5" s="74"/>
    </row>
    <row r="6" spans="1:17" ht="69.75" x14ac:dyDescent="0.35">
      <c r="A6" s="71" t="s">
        <v>80</v>
      </c>
      <c r="K6" s="69"/>
      <c r="L6" s="69"/>
      <c r="M6" s="69"/>
      <c r="N6" s="69"/>
      <c r="O6" s="69"/>
      <c r="P6" s="69"/>
      <c r="Q6" s="69"/>
    </row>
    <row r="7" spans="1:17" x14ac:dyDescent="0.35">
      <c r="A7" s="71"/>
      <c r="K7" s="69"/>
      <c r="L7" s="69"/>
      <c r="M7" s="69"/>
      <c r="N7" s="69"/>
      <c r="O7" s="69"/>
      <c r="P7" s="69"/>
      <c r="Q7" s="69"/>
    </row>
    <row r="8" spans="1:17" ht="93" x14ac:dyDescent="0.35">
      <c r="A8" s="71" t="s">
        <v>82</v>
      </c>
      <c r="B8" s="72"/>
      <c r="C8" s="72"/>
      <c r="D8" s="72"/>
      <c r="E8" s="72"/>
      <c r="F8" s="72"/>
      <c r="G8" s="72"/>
      <c r="H8" s="72"/>
      <c r="I8" s="72"/>
      <c r="J8" s="72"/>
      <c r="K8" s="69"/>
      <c r="L8" s="69"/>
      <c r="M8" s="69"/>
      <c r="N8" s="69"/>
      <c r="O8" s="69"/>
      <c r="P8" s="69"/>
      <c r="Q8" s="69"/>
    </row>
    <row r="9" spans="1:17" x14ac:dyDescent="0.35">
      <c r="A9" s="71"/>
      <c r="K9" s="69"/>
      <c r="L9" s="69"/>
      <c r="M9" s="69"/>
      <c r="N9" s="69"/>
      <c r="O9" s="69"/>
      <c r="P9" s="69"/>
      <c r="Q9" s="69"/>
    </row>
    <row r="10" spans="1:17" ht="46.5" x14ac:dyDescent="0.35">
      <c r="A10" s="71" t="s">
        <v>81</v>
      </c>
      <c r="B10" s="71"/>
      <c r="C10" s="71"/>
      <c r="D10" s="71"/>
      <c r="E10" s="71"/>
      <c r="F10" s="71"/>
      <c r="G10" s="71"/>
      <c r="H10" s="71"/>
      <c r="I10" s="71"/>
      <c r="J10" s="73"/>
    </row>
    <row r="11" spans="1:17" x14ac:dyDescent="0.35">
      <c r="A11" s="69"/>
      <c r="B11" s="69"/>
      <c r="C11" s="69"/>
      <c r="D11" s="69"/>
      <c r="E11" s="69"/>
      <c r="F11" s="69"/>
      <c r="G11" s="69"/>
      <c r="H11" s="74"/>
      <c r="I11" s="74"/>
      <c r="J11" s="74"/>
      <c r="K11" s="72"/>
      <c r="L11" s="72"/>
      <c r="M11" s="72"/>
      <c r="N11" s="72"/>
      <c r="O11" s="72"/>
      <c r="P11" s="72"/>
    </row>
    <row r="12" spans="1:17" x14ac:dyDescent="0.3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7" x14ac:dyDescent="0.3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</sheetData>
  <mergeCells count="3">
    <mergeCell ref="P4:Q4"/>
    <mergeCell ref="P5:Q5"/>
    <mergeCell ref="H11:J11"/>
  </mergeCells>
  <pageMargins left="0.7" right="0.7" top="0.75" bottom="0.75" header="0.3" footer="0.3"/>
  <pageSetup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="70" zoomScaleNormal="70" zoomScaleSheetLayoutView="73" workbookViewId="0">
      <selection sqref="A1:W1"/>
    </sheetView>
  </sheetViews>
  <sheetFormatPr defaultRowHeight="12.75" x14ac:dyDescent="0.2"/>
  <cols>
    <col min="1" max="1" width="3.7109375" customWidth="1"/>
    <col min="2" max="2" width="63.140625" customWidth="1"/>
    <col min="3" max="5" width="14.7109375" customWidth="1"/>
    <col min="6" max="6" width="3.7109375" customWidth="1"/>
    <col min="7" max="11" width="14.7109375" customWidth="1"/>
    <col min="12" max="12" width="3.7109375" customWidth="1"/>
    <col min="13" max="17" width="14.7109375" customWidth="1"/>
    <col min="18" max="18" width="3.7109375" customWidth="1"/>
    <col min="19" max="22" width="0" hidden="1" customWidth="1"/>
    <col min="23" max="23" width="14.7109375" customWidth="1"/>
  </cols>
  <sheetData>
    <row r="1" spans="1:23" ht="15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15.75" x14ac:dyDescent="0.25">
      <c r="A2" s="75" t="s">
        <v>78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15" x14ac:dyDescent="0.2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15.7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S4" s="64"/>
      <c r="T4" s="64"/>
      <c r="U4" s="64"/>
      <c r="V4" s="64"/>
      <c r="W4" s="64"/>
    </row>
    <row r="5" spans="1:23" ht="15.75" x14ac:dyDescent="0.25">
      <c r="A5" s="1" t="s">
        <v>71</v>
      </c>
      <c r="B5" s="2"/>
      <c r="C5" s="21">
        <v>2013</v>
      </c>
      <c r="D5" s="21"/>
      <c r="E5" s="21"/>
      <c r="F5" s="2"/>
      <c r="G5" s="22">
        <v>2012</v>
      </c>
      <c r="H5" s="22"/>
      <c r="I5" s="22"/>
      <c r="J5" s="22"/>
      <c r="K5" s="22"/>
      <c r="M5" s="22">
        <v>2011</v>
      </c>
      <c r="N5" s="22"/>
      <c r="O5" s="22"/>
      <c r="P5" s="22"/>
      <c r="Q5" s="22"/>
      <c r="S5" s="22">
        <v>2010</v>
      </c>
      <c r="T5" s="22"/>
      <c r="U5" s="22"/>
      <c r="V5" s="22"/>
      <c r="W5" s="22">
        <v>2010</v>
      </c>
    </row>
    <row r="6" spans="1:23" ht="15.75" x14ac:dyDescent="0.25">
      <c r="A6" s="64"/>
      <c r="B6" s="64"/>
      <c r="C6" s="23" t="s">
        <v>2</v>
      </c>
      <c r="D6" s="23" t="s">
        <v>3</v>
      </c>
      <c r="E6" s="23" t="s">
        <v>4</v>
      </c>
      <c r="F6" s="64"/>
      <c r="G6" s="24" t="s">
        <v>2</v>
      </c>
      <c r="H6" s="24" t="s">
        <v>3</v>
      </c>
      <c r="I6" s="24" t="s">
        <v>5</v>
      </c>
      <c r="J6" s="24" t="s">
        <v>6</v>
      </c>
      <c r="K6" s="24" t="s">
        <v>7</v>
      </c>
      <c r="M6" s="24" t="s">
        <v>2</v>
      </c>
      <c r="N6" s="24" t="s">
        <v>3</v>
      </c>
      <c r="O6" s="24" t="s">
        <v>5</v>
      </c>
      <c r="P6" s="24" t="s">
        <v>6</v>
      </c>
      <c r="Q6" s="24" t="s">
        <v>7</v>
      </c>
      <c r="S6" s="24" t="s">
        <v>2</v>
      </c>
      <c r="T6" s="24" t="s">
        <v>3</v>
      </c>
      <c r="U6" s="24" t="s">
        <v>5</v>
      </c>
      <c r="V6" s="24" t="s">
        <v>6</v>
      </c>
      <c r="W6" s="24" t="s">
        <v>7</v>
      </c>
    </row>
    <row r="7" spans="1:23" ht="15.75" x14ac:dyDescent="0.25">
      <c r="A7" s="1" t="s">
        <v>8</v>
      </c>
      <c r="B7" s="3"/>
      <c r="C7" s="3"/>
      <c r="D7" s="3"/>
      <c r="E7" s="3"/>
      <c r="F7" s="3"/>
      <c r="G7" s="4"/>
      <c r="H7" s="4"/>
      <c r="I7" s="4"/>
      <c r="J7" s="4"/>
      <c r="K7" s="4"/>
      <c r="M7" s="4"/>
      <c r="N7" s="4"/>
      <c r="O7" s="4"/>
      <c r="P7" s="4"/>
      <c r="Q7" s="4"/>
      <c r="S7" s="4"/>
      <c r="T7" s="4"/>
      <c r="U7" s="4"/>
      <c r="V7" s="4"/>
      <c r="W7" s="4"/>
    </row>
    <row r="8" spans="1:23" ht="15" x14ac:dyDescent="0.2">
      <c r="A8" s="5"/>
      <c r="B8" s="6" t="s">
        <v>9</v>
      </c>
      <c r="C8" s="7">
        <v>214998.63684127899</v>
      </c>
      <c r="D8" s="7">
        <v>243643.92422873198</v>
      </c>
      <c r="E8" s="7">
        <v>458642.561070011</v>
      </c>
      <c r="F8" s="6"/>
      <c r="G8" s="7">
        <v>220179</v>
      </c>
      <c r="H8" s="7">
        <v>224235.44879842098</v>
      </c>
      <c r="I8" s="7">
        <v>212102.96237264</v>
      </c>
      <c r="J8" s="7">
        <v>281771.75106592901</v>
      </c>
      <c r="K8" s="7">
        <v>938289.16223698994</v>
      </c>
      <c r="M8" s="7">
        <v>241631</v>
      </c>
      <c r="N8" s="7">
        <v>242921</v>
      </c>
      <c r="O8" s="7">
        <v>221475</v>
      </c>
      <c r="P8" s="7">
        <v>280365</v>
      </c>
      <c r="Q8" s="7">
        <v>986392</v>
      </c>
      <c r="S8" s="7">
        <v>239298</v>
      </c>
      <c r="T8" s="7">
        <v>228089</v>
      </c>
      <c r="U8" s="7">
        <v>245634</v>
      </c>
      <c r="V8" s="7">
        <v>309542</v>
      </c>
      <c r="W8" s="7">
        <v>1022563.03690965</v>
      </c>
    </row>
    <row r="9" spans="1:23" ht="15" x14ac:dyDescent="0.2">
      <c r="A9" s="5"/>
      <c r="B9" s="6" t="s">
        <v>10</v>
      </c>
      <c r="C9" s="62">
        <v>74287.229572166601</v>
      </c>
      <c r="D9" s="62">
        <v>72336.5074125721</v>
      </c>
      <c r="E9" s="8">
        <v>146623.7369847387</v>
      </c>
      <c r="F9" s="6"/>
      <c r="G9" s="62">
        <v>76365</v>
      </c>
      <c r="H9" s="62">
        <v>70521.754061600703</v>
      </c>
      <c r="I9" s="62">
        <v>66901.828493733905</v>
      </c>
      <c r="J9" s="62">
        <v>69814.867818435101</v>
      </c>
      <c r="K9" s="8">
        <v>283603.45037376974</v>
      </c>
      <c r="M9" s="62">
        <v>82870</v>
      </c>
      <c r="N9" s="62">
        <v>78587.000000000189</v>
      </c>
      <c r="O9" s="62">
        <v>74271.000000000291</v>
      </c>
      <c r="P9" s="62">
        <v>72245.999999999403</v>
      </c>
      <c r="Q9" s="8">
        <v>307973.99999999988</v>
      </c>
      <c r="S9" s="8">
        <v>85277</v>
      </c>
      <c r="T9" s="8">
        <v>77054</v>
      </c>
      <c r="U9" s="8">
        <v>77304</v>
      </c>
      <c r="V9" s="8">
        <v>78795</v>
      </c>
      <c r="W9" s="62">
        <v>318429.88964852202</v>
      </c>
    </row>
    <row r="10" spans="1:23" ht="15" x14ac:dyDescent="0.2">
      <c r="A10" s="5"/>
      <c r="B10" s="6" t="s">
        <v>11</v>
      </c>
      <c r="C10" s="62">
        <v>87011.8488290276</v>
      </c>
      <c r="D10" s="62">
        <v>100482.12134222301</v>
      </c>
      <c r="E10" s="8">
        <v>187493.97017125061</v>
      </c>
      <c r="F10" s="6"/>
      <c r="G10" s="62">
        <v>104350</v>
      </c>
      <c r="H10" s="62">
        <v>104550.94240670501</v>
      </c>
      <c r="I10" s="62">
        <v>93475.605262672791</v>
      </c>
      <c r="J10" s="62">
        <v>110385.33474593</v>
      </c>
      <c r="K10" s="8">
        <v>412761.88241530774</v>
      </c>
      <c r="M10" s="62">
        <v>99565</v>
      </c>
      <c r="N10" s="62">
        <v>105515.999999999</v>
      </c>
      <c r="O10" s="62">
        <v>113224</v>
      </c>
      <c r="P10" s="62">
        <v>108301</v>
      </c>
      <c r="Q10" s="8">
        <v>426605.99999999901</v>
      </c>
      <c r="S10" s="8">
        <v>83767</v>
      </c>
      <c r="T10" s="8">
        <v>88297</v>
      </c>
      <c r="U10" s="8">
        <v>98444</v>
      </c>
      <c r="V10" s="8">
        <v>119711</v>
      </c>
      <c r="W10" s="62">
        <v>390218.84736376902</v>
      </c>
    </row>
    <row r="11" spans="1:23" ht="15" x14ac:dyDescent="0.2">
      <c r="A11" s="5"/>
      <c r="B11" s="6" t="s">
        <v>12</v>
      </c>
      <c r="C11" s="62">
        <v>136379.482239562</v>
      </c>
      <c r="D11" s="62">
        <v>136775.47418309399</v>
      </c>
      <c r="E11" s="8">
        <f>273154.956422656-1</f>
        <v>273153.95642265602</v>
      </c>
      <c r="F11" s="6"/>
      <c r="G11" s="62">
        <v>140389</v>
      </c>
      <c r="H11" s="62">
        <v>145496.58101225601</v>
      </c>
      <c r="I11" s="62">
        <v>142288.35560592299</v>
      </c>
      <c r="J11" s="62">
        <v>141445.20092389898</v>
      </c>
      <c r="K11" s="8">
        <v>569619.13754207792</v>
      </c>
      <c r="M11" s="62">
        <v>156691.56814381899</v>
      </c>
      <c r="N11" s="62">
        <v>156161.87506163699</v>
      </c>
      <c r="O11" s="62">
        <v>154209.75186430002</v>
      </c>
      <c r="P11" s="62">
        <v>151926.14614146799</v>
      </c>
      <c r="Q11" s="8">
        <f>618989.341211224+1</f>
        <v>618990.34121122397</v>
      </c>
      <c r="S11" s="8">
        <v>165988</v>
      </c>
      <c r="T11" s="8">
        <v>164482</v>
      </c>
      <c r="U11" s="8">
        <v>164140</v>
      </c>
      <c r="V11" s="8">
        <v>156738</v>
      </c>
      <c r="W11" s="62">
        <v>651348.33917778009</v>
      </c>
    </row>
    <row r="12" spans="1:23" ht="15" x14ac:dyDescent="0.2">
      <c r="A12" s="5"/>
      <c r="B12" s="6" t="s">
        <v>13</v>
      </c>
      <c r="C12" s="62">
        <v>116761.628267322</v>
      </c>
      <c r="D12" s="62">
        <v>115928.75477506001</v>
      </c>
      <c r="E12" s="8">
        <f>232690.383042382+1</f>
        <v>232691.38304238199</v>
      </c>
      <c r="F12" s="6"/>
      <c r="G12" s="62">
        <v>126748.04215660501</v>
      </c>
      <c r="H12" s="62">
        <v>122948.076494892</v>
      </c>
      <c r="I12" s="62">
        <v>123998.81335807701</v>
      </c>
      <c r="J12" s="62">
        <v>121435.447141317</v>
      </c>
      <c r="K12" s="8">
        <v>495130.37915089104</v>
      </c>
      <c r="M12" s="62">
        <v>140589.43185618101</v>
      </c>
      <c r="N12" s="62">
        <v>136369.12493836301</v>
      </c>
      <c r="O12" s="62">
        <v>136000.24813569998</v>
      </c>
      <c r="P12" s="62">
        <v>134310.85385853201</v>
      </c>
      <c r="Q12" s="8">
        <f>547269.658788776-1</f>
        <v>547268.65878877603</v>
      </c>
      <c r="S12" s="8">
        <v>152224</v>
      </c>
      <c r="T12" s="8">
        <v>142263</v>
      </c>
      <c r="U12" s="8">
        <v>144592</v>
      </c>
      <c r="V12" s="8">
        <v>148280</v>
      </c>
      <c r="W12" s="62">
        <v>587359.40900177194</v>
      </c>
    </row>
    <row r="13" spans="1:23" ht="15" x14ac:dyDescent="0.2">
      <c r="A13" s="5"/>
      <c r="B13" s="6" t="s">
        <v>14</v>
      </c>
      <c r="C13" s="62">
        <v>165485.79735269901</v>
      </c>
      <c r="D13" s="62">
        <v>163178.00218003202</v>
      </c>
      <c r="E13" s="8">
        <v>328663.79953273106</v>
      </c>
      <c r="F13" s="6"/>
      <c r="G13" s="62">
        <v>173518</v>
      </c>
      <c r="H13" s="62">
        <v>171254.03504470299</v>
      </c>
      <c r="I13" s="62">
        <v>171651.86539805902</v>
      </c>
      <c r="J13" s="62">
        <v>173243.41234261799</v>
      </c>
      <c r="K13" s="8">
        <v>689667.31278538005</v>
      </c>
      <c r="M13" s="62">
        <v>178614</v>
      </c>
      <c r="N13" s="62">
        <v>176807</v>
      </c>
      <c r="O13" s="62">
        <v>175286</v>
      </c>
      <c r="P13" s="62">
        <v>175797.99999999898</v>
      </c>
      <c r="Q13" s="8">
        <v>706504.99999999895</v>
      </c>
      <c r="S13" s="8">
        <v>180034</v>
      </c>
      <c r="T13" s="8">
        <v>175298</v>
      </c>
      <c r="U13" s="8">
        <v>175844</v>
      </c>
      <c r="V13" s="8">
        <v>180343</v>
      </c>
      <c r="W13" s="62">
        <v>711519.10025920498</v>
      </c>
    </row>
    <row r="14" spans="1:23" ht="15" x14ac:dyDescent="0.2">
      <c r="A14" s="5"/>
      <c r="B14" s="6" t="s">
        <v>15</v>
      </c>
      <c r="C14" s="62">
        <v>146775.47256167501</v>
      </c>
      <c r="D14" s="62">
        <v>151153.82464914699</v>
      </c>
      <c r="E14" s="8">
        <v>297929.297210822</v>
      </c>
      <c r="F14" s="6"/>
      <c r="G14" s="62">
        <v>147955.03700000001</v>
      </c>
      <c r="H14" s="62">
        <v>146790.34637031902</v>
      </c>
      <c r="I14" s="62">
        <v>151908.00297888898</v>
      </c>
      <c r="J14" s="62">
        <f>147332.995545985+1</f>
        <v>147333.995545985</v>
      </c>
      <c r="K14" s="8">
        <f>593986.381895193+1</f>
        <v>593987.38189519302</v>
      </c>
      <c r="M14" s="62">
        <v>137600.136</v>
      </c>
      <c r="N14" s="62">
        <v>138686.94799999997</v>
      </c>
      <c r="O14" s="62">
        <v>152833.37499999598</v>
      </c>
      <c r="P14" s="62">
        <f>150828.134000004+1</f>
        <v>150829.13400000401</v>
      </c>
      <c r="Q14" s="8">
        <v>579948.59299999988</v>
      </c>
      <c r="S14" s="8">
        <v>441645</v>
      </c>
      <c r="T14" s="8">
        <v>421754</v>
      </c>
      <c r="U14" s="8">
        <v>439784</v>
      </c>
      <c r="V14" s="8">
        <v>440633</v>
      </c>
      <c r="W14" s="62">
        <v>579631.5434948199</v>
      </c>
    </row>
    <row r="15" spans="1:23" ht="15" x14ac:dyDescent="0.2">
      <c r="A15" s="5"/>
      <c r="B15" s="6"/>
      <c r="C15" s="9"/>
      <c r="D15" s="9"/>
      <c r="E15" s="9"/>
      <c r="F15" s="6"/>
      <c r="G15" s="9"/>
      <c r="H15" s="9"/>
      <c r="I15" s="9"/>
      <c r="J15" s="9"/>
      <c r="K15" s="9"/>
      <c r="M15" s="9"/>
      <c r="N15" s="9"/>
      <c r="O15" s="9"/>
      <c r="P15" s="9"/>
      <c r="Q15" s="9"/>
      <c r="S15" s="9"/>
      <c r="T15" s="9"/>
      <c r="U15" s="9"/>
      <c r="V15" s="9"/>
      <c r="W15" s="9"/>
    </row>
    <row r="16" spans="1:23" ht="15.75" x14ac:dyDescent="0.25">
      <c r="A16" s="10"/>
      <c r="B16" s="6" t="s">
        <v>16</v>
      </c>
      <c r="C16" s="11">
        <v>941700.0956637311</v>
      </c>
      <c r="D16" s="11">
        <v>983498.60877086013</v>
      </c>
      <c r="E16" s="11">
        <v>1925198.7044345913</v>
      </c>
      <c r="F16" s="6"/>
      <c r="G16" s="11">
        <v>989504.07915660506</v>
      </c>
      <c r="H16" s="11">
        <v>985797.18418889667</v>
      </c>
      <c r="I16" s="11">
        <v>962327.43346999469</v>
      </c>
      <c r="J16" s="11">
        <f>1045429.00958411+1</f>
        <v>1045430.00958411</v>
      </c>
      <c r="K16" s="11">
        <v>3983057.7063996093</v>
      </c>
      <c r="M16" s="11">
        <v>1037561.1359999999</v>
      </c>
      <c r="N16" s="11">
        <v>1035048.9479999992</v>
      </c>
      <c r="O16" s="11">
        <v>1027299.3749999963</v>
      </c>
      <c r="P16" s="11">
        <f>1073775.134+1</f>
        <v>1073776.1340000001</v>
      </c>
      <c r="Q16" s="11">
        <v>4173684.592999998</v>
      </c>
      <c r="S16" s="11">
        <v>1348233</v>
      </c>
      <c r="T16" s="11">
        <v>1297237</v>
      </c>
      <c r="U16" s="11">
        <v>1345742</v>
      </c>
      <c r="V16" s="11">
        <v>1434042</v>
      </c>
      <c r="W16" s="11">
        <v>4261070.1658555176</v>
      </c>
    </row>
    <row r="17" spans="1:23" ht="15.75" x14ac:dyDescent="0.25">
      <c r="A17" s="10"/>
      <c r="B17" s="12"/>
      <c r="C17" s="13"/>
      <c r="D17" s="13"/>
      <c r="E17" s="13"/>
      <c r="F17" s="12"/>
      <c r="G17" s="13"/>
      <c r="H17" s="13"/>
      <c r="I17" s="13"/>
      <c r="J17" s="13"/>
      <c r="K17" s="13"/>
      <c r="M17" s="13"/>
      <c r="N17" s="13"/>
      <c r="O17" s="13"/>
      <c r="P17" s="13"/>
      <c r="Q17" s="13"/>
      <c r="S17" s="13"/>
      <c r="T17" s="13"/>
      <c r="U17" s="13"/>
      <c r="V17" s="13"/>
      <c r="W17" s="13"/>
    </row>
    <row r="18" spans="1:23" ht="15.75" x14ac:dyDescent="0.25">
      <c r="A18" s="5" t="s">
        <v>17</v>
      </c>
      <c r="B18" s="12"/>
      <c r="C18" s="13"/>
      <c r="D18" s="13"/>
      <c r="E18" s="13"/>
      <c r="F18" s="12"/>
      <c r="G18" s="13"/>
      <c r="H18" s="13"/>
      <c r="I18" s="13"/>
      <c r="J18" s="13"/>
      <c r="K18" s="13"/>
      <c r="M18" s="13"/>
      <c r="N18" s="13"/>
      <c r="O18" s="13"/>
      <c r="P18" s="13"/>
      <c r="Q18" s="13"/>
      <c r="S18" s="13"/>
      <c r="T18" s="13"/>
      <c r="U18" s="13"/>
      <c r="V18" s="13"/>
      <c r="W18" s="13"/>
    </row>
    <row r="19" spans="1:23" ht="15" x14ac:dyDescent="0.2">
      <c r="A19" s="5"/>
      <c r="B19" s="6" t="s">
        <v>18</v>
      </c>
      <c r="C19" s="62">
        <v>109337.292031893</v>
      </c>
      <c r="D19" s="62">
        <v>128426.272178648</v>
      </c>
      <c r="E19" s="8">
        <f>237763.564210541-1</f>
        <v>237762.56421054099</v>
      </c>
      <c r="F19" s="6"/>
      <c r="G19" s="62">
        <v>96916</v>
      </c>
      <c r="H19" s="62">
        <v>106718.21000525</v>
      </c>
      <c r="I19" s="62">
        <v>105556.28480522899</v>
      </c>
      <c r="J19" s="62">
        <v>149860.93025108901</v>
      </c>
      <c r="K19" s="8">
        <v>459051.42506156804</v>
      </c>
      <c r="M19" s="62">
        <v>114753</v>
      </c>
      <c r="N19" s="62">
        <v>104385</v>
      </c>
      <c r="O19" s="62">
        <v>97558.999999999593</v>
      </c>
      <c r="P19" s="62">
        <v>132782.00000000099</v>
      </c>
      <c r="Q19" s="8">
        <v>449479.00000000058</v>
      </c>
      <c r="S19" s="8">
        <v>105837</v>
      </c>
      <c r="T19" s="8">
        <v>101072</v>
      </c>
      <c r="U19" s="8">
        <v>113282</v>
      </c>
      <c r="V19" s="8">
        <v>148967</v>
      </c>
      <c r="W19" s="62">
        <v>469158.34066727199</v>
      </c>
    </row>
    <row r="20" spans="1:23" ht="15" x14ac:dyDescent="0.2">
      <c r="A20" s="5"/>
      <c r="B20" s="6" t="s">
        <v>19</v>
      </c>
      <c r="C20" s="62">
        <v>23262.320514971801</v>
      </c>
      <c r="D20" s="62">
        <v>22691.9502262764</v>
      </c>
      <c r="E20" s="8">
        <v>45954.270741248198</v>
      </c>
      <c r="F20" s="6"/>
      <c r="G20" s="62">
        <v>23871</v>
      </c>
      <c r="H20" s="62">
        <v>20862.711207128701</v>
      </c>
      <c r="I20" s="62">
        <v>20693.8977500822</v>
      </c>
      <c r="J20" s="62">
        <v>22140.716277427498</v>
      </c>
      <c r="K20" s="8">
        <v>87568.325234638396</v>
      </c>
      <c r="M20" s="62">
        <v>26192</v>
      </c>
      <c r="N20" s="62">
        <v>25562</v>
      </c>
      <c r="O20" s="62">
        <v>22611</v>
      </c>
      <c r="P20" s="62">
        <v>23089</v>
      </c>
      <c r="Q20" s="8">
        <v>97454</v>
      </c>
      <c r="S20" s="8">
        <v>25365</v>
      </c>
      <c r="T20" s="8">
        <v>24173</v>
      </c>
      <c r="U20" s="8">
        <v>23843</v>
      </c>
      <c r="V20" s="8">
        <v>23791</v>
      </c>
      <c r="W20" s="62">
        <v>97172.271138214899</v>
      </c>
    </row>
    <row r="21" spans="1:23" ht="15" x14ac:dyDescent="0.2">
      <c r="A21" s="5"/>
      <c r="B21" s="6" t="s">
        <v>20</v>
      </c>
      <c r="C21" s="62">
        <v>20706.3035364114</v>
      </c>
      <c r="D21" s="62">
        <v>21435.331968283699</v>
      </c>
      <c r="E21" s="8">
        <f>42141.6355046951-1</f>
        <v>42140.635504695099</v>
      </c>
      <c r="F21" s="6"/>
      <c r="G21" s="62">
        <v>21093</v>
      </c>
      <c r="H21" s="62">
        <v>24404.404272605603</v>
      </c>
      <c r="I21" s="62">
        <v>22784.068010499399</v>
      </c>
      <c r="J21" s="62">
        <v>24427.0958034205</v>
      </c>
      <c r="K21" s="8">
        <f>92708.5680865255-1</f>
        <v>92707.568086525498</v>
      </c>
      <c r="M21" s="62">
        <v>25212</v>
      </c>
      <c r="N21" s="62">
        <v>24898</v>
      </c>
      <c r="O21" s="62">
        <v>23431</v>
      </c>
      <c r="P21" s="62">
        <v>25565.9999999998</v>
      </c>
      <c r="Q21" s="8">
        <v>99106.999999999796</v>
      </c>
      <c r="S21" s="8">
        <v>21156</v>
      </c>
      <c r="T21" s="8">
        <v>21207</v>
      </c>
      <c r="U21" s="8">
        <v>23630</v>
      </c>
      <c r="V21" s="8">
        <v>27398</v>
      </c>
      <c r="W21" s="62">
        <v>93391.296047442709</v>
      </c>
    </row>
    <row r="22" spans="1:23" ht="15" x14ac:dyDescent="0.2">
      <c r="A22" s="5"/>
      <c r="B22" s="6" t="s">
        <v>21</v>
      </c>
      <c r="C22" s="62">
        <v>27755.162224751701</v>
      </c>
      <c r="D22" s="62">
        <v>26423.9164039143</v>
      </c>
      <c r="E22" s="8">
        <v>54179.078628666</v>
      </c>
      <c r="F22" s="6"/>
      <c r="G22" s="62">
        <v>30225</v>
      </c>
      <c r="H22" s="62">
        <v>31851.304854272501</v>
      </c>
      <c r="I22" s="62">
        <v>25182.4760354916</v>
      </c>
      <c r="J22" s="62">
        <v>28097.620726590801</v>
      </c>
      <c r="K22" s="8">
        <v>115356.40161635491</v>
      </c>
      <c r="M22" s="62">
        <v>35906.563049999997</v>
      </c>
      <c r="N22" s="62">
        <v>36108.992659999996</v>
      </c>
      <c r="O22" s="62">
        <v>35816.893690000397</v>
      </c>
      <c r="P22" s="62">
        <v>30770.0266999993</v>
      </c>
      <c r="Q22" s="8">
        <f>138602.4761+1</f>
        <v>138603.4761</v>
      </c>
      <c r="S22" s="8">
        <v>40594</v>
      </c>
      <c r="T22" s="8">
        <v>37884</v>
      </c>
      <c r="U22" s="8">
        <v>39747</v>
      </c>
      <c r="V22" s="8">
        <v>37255</v>
      </c>
      <c r="W22" s="62">
        <v>155480.218900215</v>
      </c>
    </row>
    <row r="23" spans="1:23" ht="15" x14ac:dyDescent="0.2">
      <c r="A23" s="5"/>
      <c r="B23" s="6" t="s">
        <v>22</v>
      </c>
      <c r="C23" s="62">
        <v>19875.016</v>
      </c>
      <c r="D23" s="62">
        <v>19797.759999999998</v>
      </c>
      <c r="E23" s="8">
        <v>39672.775999999998</v>
      </c>
      <c r="F23" s="6"/>
      <c r="G23" s="62">
        <v>21139</v>
      </c>
      <c r="H23" s="62">
        <v>20642</v>
      </c>
      <c r="I23" s="62">
        <v>19603.934000000001</v>
      </c>
      <c r="J23" s="62">
        <v>19754.600999999999</v>
      </c>
      <c r="K23" s="8">
        <v>81139.535000000003</v>
      </c>
      <c r="M23" s="62">
        <v>23293</v>
      </c>
      <c r="N23" s="62">
        <v>22192</v>
      </c>
      <c r="O23" s="62">
        <v>21430</v>
      </c>
      <c r="P23" s="62">
        <v>20783</v>
      </c>
      <c r="Q23" s="8">
        <v>87698</v>
      </c>
      <c r="S23" s="8">
        <v>21938</v>
      </c>
      <c r="T23" s="8">
        <v>21821</v>
      </c>
      <c r="U23" s="8">
        <v>22189</v>
      </c>
      <c r="V23" s="8">
        <v>22344</v>
      </c>
      <c r="W23" s="62">
        <v>88292</v>
      </c>
    </row>
    <row r="24" spans="1:23" ht="15" x14ac:dyDescent="0.2">
      <c r="A24" s="5"/>
      <c r="B24" s="6" t="s">
        <v>23</v>
      </c>
      <c r="C24" s="62">
        <v>108009.19877342599</v>
      </c>
      <c r="D24" s="62">
        <v>104282.26692291499</v>
      </c>
      <c r="E24" s="8">
        <v>212291.46569634098</v>
      </c>
      <c r="F24" s="6"/>
      <c r="G24" s="62">
        <v>115087</v>
      </c>
      <c r="H24" s="62">
        <v>112123.47379695599</v>
      </c>
      <c r="I24" s="62">
        <v>107095.420367306</v>
      </c>
      <c r="J24" s="62">
        <v>105749.970059713</v>
      </c>
      <c r="K24" s="8">
        <f>440055.864223975-1</f>
        <v>440054.86422397499</v>
      </c>
      <c r="M24" s="62">
        <v>115276</v>
      </c>
      <c r="N24" s="62">
        <v>115417</v>
      </c>
      <c r="O24" s="62">
        <v>114074</v>
      </c>
      <c r="P24" s="62">
        <v>107814.999999999</v>
      </c>
      <c r="Q24" s="8">
        <v>452581.99999999901</v>
      </c>
      <c r="S24" s="8">
        <v>114606</v>
      </c>
      <c r="T24" s="8">
        <v>111695</v>
      </c>
      <c r="U24" s="8">
        <v>111521</v>
      </c>
      <c r="V24" s="8">
        <v>113787</v>
      </c>
      <c r="W24" s="62">
        <v>451609.33023272402</v>
      </c>
    </row>
    <row r="25" spans="1:23" ht="15" x14ac:dyDescent="0.2">
      <c r="A25" s="5"/>
      <c r="B25" s="6" t="s">
        <v>24</v>
      </c>
      <c r="C25" s="62">
        <v>102354.66397170999</v>
      </c>
      <c r="D25" s="62">
        <v>108168.29609516702</v>
      </c>
      <c r="E25" s="8">
        <v>210522.96006687701</v>
      </c>
      <c r="F25" s="6"/>
      <c r="G25" s="62">
        <v>96957.606</v>
      </c>
      <c r="H25" s="62">
        <v>98500.621111079003</v>
      </c>
      <c r="I25" s="62">
        <v>103230.13835113999</v>
      </c>
      <c r="J25" s="62">
        <v>97607.611387208017</v>
      </c>
      <c r="K25" s="8">
        <f>396295.976849427+2</f>
        <v>396297.97684942698</v>
      </c>
      <c r="M25" s="62">
        <v>97462.896000000008</v>
      </c>
      <c r="N25" s="62">
        <v>98125.777999999991</v>
      </c>
      <c r="O25" s="62">
        <v>104076.033</v>
      </c>
      <c r="P25" s="62">
        <v>100089.13099999799</v>
      </c>
      <c r="Q25" s="8">
        <f>399753.837999998+1</f>
        <v>399754.83799999801</v>
      </c>
      <c r="S25" s="8">
        <v>330472</v>
      </c>
      <c r="T25" s="8">
        <v>337652</v>
      </c>
      <c r="U25" s="8">
        <v>335588</v>
      </c>
      <c r="V25" s="8">
        <v>333524</v>
      </c>
      <c r="W25" s="62">
        <f>382016.004586881+1</f>
        <v>382017.00458688103</v>
      </c>
    </row>
    <row r="26" spans="1:23" ht="15" x14ac:dyDescent="0.2">
      <c r="A26" s="5"/>
      <c r="B26" s="6" t="s">
        <v>25</v>
      </c>
      <c r="C26" s="62">
        <v>357297.27022831864</v>
      </c>
      <c r="D26" s="62">
        <v>359047.47330189799</v>
      </c>
      <c r="E26" s="8">
        <v>716344.74353021663</v>
      </c>
      <c r="F26" s="6"/>
      <c r="G26" s="62">
        <v>381663.36822948029</v>
      </c>
      <c r="H26" s="62">
        <v>362598.92925973999</v>
      </c>
      <c r="I26" s="62">
        <v>372820.79648819403</v>
      </c>
      <c r="J26" s="62">
        <v>394151.75280757406</v>
      </c>
      <c r="K26" s="8">
        <v>1511234.8467849884</v>
      </c>
      <c r="M26" s="62">
        <v>396082.0269499995</v>
      </c>
      <c r="N26" s="62">
        <v>400732.91334000078</v>
      </c>
      <c r="O26" s="62">
        <v>394718.56731000397</v>
      </c>
      <c r="P26" s="62">
        <v>403619.73929999286</v>
      </c>
      <c r="Q26" s="8">
        <v>1595153.2468999971</v>
      </c>
      <c r="S26" s="8">
        <v>439774</v>
      </c>
      <c r="T26" s="8">
        <v>422778</v>
      </c>
      <c r="U26" s="8">
        <v>431822</v>
      </c>
      <c r="V26" s="8">
        <v>452288</v>
      </c>
      <c r="W26" s="62">
        <v>1624723.7794656099</v>
      </c>
    </row>
    <row r="27" spans="1:23" ht="15" x14ac:dyDescent="0.2">
      <c r="A27" s="5"/>
      <c r="B27" s="6" t="s">
        <v>26</v>
      </c>
      <c r="C27" s="62">
        <v>33335.195396080198</v>
      </c>
      <c r="D27" s="62">
        <v>31501.457494839698</v>
      </c>
      <c r="E27" s="8">
        <f>64836.6528909199-1</f>
        <v>64835.652890919897</v>
      </c>
      <c r="F27" s="6"/>
      <c r="G27" s="62">
        <v>34073</v>
      </c>
      <c r="H27" s="62">
        <v>33811.475595389704</v>
      </c>
      <c r="I27" s="62">
        <v>36669.135395891397</v>
      </c>
      <c r="J27" s="62">
        <v>32379.108048274698</v>
      </c>
      <c r="K27" s="8">
        <f>136932.719039556-1</f>
        <v>136931.71903955599</v>
      </c>
      <c r="M27" s="62">
        <v>34758</v>
      </c>
      <c r="N27" s="62">
        <v>37545.531000000003</v>
      </c>
      <c r="O27" s="62">
        <v>35573.005999999499</v>
      </c>
      <c r="P27" s="62">
        <v>40872.994000000603</v>
      </c>
      <c r="Q27" s="8">
        <v>148749.5310000001</v>
      </c>
      <c r="S27" s="8">
        <v>40865</v>
      </c>
      <c r="T27" s="8">
        <v>38168</v>
      </c>
      <c r="U27" s="8">
        <v>38454</v>
      </c>
      <c r="V27" s="8">
        <v>38884</v>
      </c>
      <c r="W27" s="62">
        <v>156572.54210309201</v>
      </c>
    </row>
    <row r="28" spans="1:23" ht="15" x14ac:dyDescent="0.2">
      <c r="A28" s="5"/>
      <c r="B28" s="6" t="s">
        <v>27</v>
      </c>
      <c r="C28" s="62">
        <v>0</v>
      </c>
      <c r="D28" s="62">
        <v>19030.980940634199</v>
      </c>
      <c r="E28" s="8">
        <v>19030.980940634199</v>
      </c>
      <c r="F28" s="6"/>
      <c r="G28" s="62">
        <v>0</v>
      </c>
      <c r="H28" s="62">
        <v>-979.85128417971407</v>
      </c>
      <c r="I28" s="62">
        <v>0</v>
      </c>
      <c r="J28" s="62">
        <v>18156.778319342597</v>
      </c>
      <c r="K28" s="8">
        <v>17176.927035162884</v>
      </c>
      <c r="M28" s="62">
        <v>20433.685000000001</v>
      </c>
      <c r="N28" s="62">
        <v>5431.7830000000004</v>
      </c>
      <c r="O28" s="62">
        <v>18551.741999999998</v>
      </c>
      <c r="P28" s="62">
        <v>74213.301000000196</v>
      </c>
      <c r="Q28" s="8">
        <v>118630.5110000002</v>
      </c>
      <c r="S28" s="8">
        <v>20722</v>
      </c>
      <c r="T28" s="8">
        <v>48512</v>
      </c>
      <c r="U28" s="8">
        <v>33805</v>
      </c>
      <c r="V28" s="8">
        <v>79235</v>
      </c>
      <c r="W28" s="62">
        <v>170632.41252144598</v>
      </c>
    </row>
    <row r="29" spans="1:23" ht="15" x14ac:dyDescent="0.2">
      <c r="A29" s="5"/>
      <c r="B29" s="6" t="s">
        <v>28</v>
      </c>
      <c r="C29" s="62">
        <v>0</v>
      </c>
      <c r="D29" s="62">
        <v>0</v>
      </c>
      <c r="E29" s="8">
        <v>0</v>
      </c>
      <c r="F29" s="6"/>
      <c r="G29" s="62">
        <v>0</v>
      </c>
      <c r="H29" s="62">
        <v>0</v>
      </c>
      <c r="I29" s="62">
        <v>0</v>
      </c>
      <c r="J29" s="62">
        <v>0</v>
      </c>
      <c r="K29" s="8">
        <v>0</v>
      </c>
      <c r="M29" s="62">
        <v>0</v>
      </c>
      <c r="N29" s="62">
        <v>0</v>
      </c>
      <c r="O29" s="62">
        <v>0</v>
      </c>
      <c r="P29" s="62">
        <v>0</v>
      </c>
      <c r="Q29" s="8">
        <v>0</v>
      </c>
      <c r="S29" s="8">
        <v>0</v>
      </c>
      <c r="T29" s="8">
        <v>0</v>
      </c>
      <c r="U29" s="8">
        <v>0</v>
      </c>
      <c r="V29" s="8">
        <v>0</v>
      </c>
      <c r="W29" s="62">
        <v>0</v>
      </c>
    </row>
    <row r="30" spans="1:23" ht="15" x14ac:dyDescent="0.2">
      <c r="A30" s="5"/>
      <c r="B30" s="6" t="s">
        <v>29</v>
      </c>
      <c r="C30" s="62">
        <v>30738.518880271302</v>
      </c>
      <c r="D30" s="62">
        <v>31347.489041474902</v>
      </c>
      <c r="E30" s="8">
        <v>62086.007921746204</v>
      </c>
      <c r="F30" s="6"/>
      <c r="G30" s="62">
        <v>29367.30349604</v>
      </c>
      <c r="H30" s="62">
        <v>30353.102327107899</v>
      </c>
      <c r="I30" s="62">
        <v>27540.801542712099</v>
      </c>
      <c r="J30" s="62">
        <v>27966.7823394443</v>
      </c>
      <c r="K30" s="8">
        <v>115227.9897053043</v>
      </c>
      <c r="M30" s="62">
        <v>28524</v>
      </c>
      <c r="N30" s="62">
        <v>28550</v>
      </c>
      <c r="O30" s="62">
        <v>28932</v>
      </c>
      <c r="P30" s="62">
        <v>29356.9999999998</v>
      </c>
      <c r="Q30" s="8">
        <v>115362.9999999998</v>
      </c>
      <c r="S30" s="8">
        <v>27658</v>
      </c>
      <c r="T30" s="8">
        <v>29204</v>
      </c>
      <c r="U30" s="8">
        <v>29310</v>
      </c>
      <c r="V30" s="8">
        <v>29447</v>
      </c>
      <c r="W30" s="62">
        <v>115619.268079941</v>
      </c>
    </row>
    <row r="31" spans="1:23" ht="15" x14ac:dyDescent="0.2">
      <c r="A31" s="5"/>
      <c r="B31" s="6" t="s">
        <v>30</v>
      </c>
      <c r="C31" s="62">
        <v>-1748.47829405383</v>
      </c>
      <c r="D31" s="62">
        <v>-1302.2472381225</v>
      </c>
      <c r="E31" s="8">
        <f>-3050.72553217633+1</f>
        <v>-3049.72553217633</v>
      </c>
      <c r="F31" s="6"/>
      <c r="G31" s="62">
        <v>-1732.9962422900001</v>
      </c>
      <c r="H31" s="62">
        <v>-2003.0020437607</v>
      </c>
      <c r="I31" s="62">
        <v>-2057.0649953441002</v>
      </c>
      <c r="J31" s="62">
        <v>-2188.8531829659</v>
      </c>
      <c r="K31" s="8">
        <v>-7981.9164643607</v>
      </c>
      <c r="M31" s="62">
        <v>-1222</v>
      </c>
      <c r="N31" s="62">
        <v>-2215</v>
      </c>
      <c r="O31" s="62">
        <v>-1265</v>
      </c>
      <c r="P31" s="62">
        <v>-1093</v>
      </c>
      <c r="Q31" s="8">
        <v>-5795</v>
      </c>
      <c r="S31" s="8">
        <v>-762</v>
      </c>
      <c r="T31" s="8">
        <v>-696</v>
      </c>
      <c r="U31" s="8">
        <v>-393</v>
      </c>
      <c r="V31" s="8">
        <v>-736</v>
      </c>
      <c r="W31" s="62">
        <v>-2587.4287836656999</v>
      </c>
    </row>
    <row r="32" spans="1:23" ht="15" x14ac:dyDescent="0.2">
      <c r="A32" s="5"/>
      <c r="B32" s="6" t="s">
        <v>31</v>
      </c>
      <c r="C32" s="62">
        <v>25120.662514969899</v>
      </c>
      <c r="D32" s="62">
        <v>0</v>
      </c>
      <c r="E32" s="8">
        <v>25120.662514969899</v>
      </c>
      <c r="F32" s="6"/>
      <c r="G32" s="62">
        <v>-3234</v>
      </c>
      <c r="H32" s="62">
        <v>4372.4264366849993</v>
      </c>
      <c r="I32" s="62">
        <v>0</v>
      </c>
      <c r="J32" s="62">
        <v>0</v>
      </c>
      <c r="K32" s="8">
        <v>1138.4264366849993</v>
      </c>
      <c r="M32" s="62">
        <v>0</v>
      </c>
      <c r="N32" s="62">
        <v>0</v>
      </c>
      <c r="O32" s="62">
        <v>-10718.000550135999</v>
      </c>
      <c r="P32" s="62">
        <v>-9200.0335084994003</v>
      </c>
      <c r="Q32" s="8">
        <v>-19918.0340586354</v>
      </c>
      <c r="S32" s="11">
        <v>0</v>
      </c>
      <c r="T32" s="11">
        <v>0</v>
      </c>
      <c r="U32" s="11">
        <v>0</v>
      </c>
      <c r="V32" s="11">
        <v>0</v>
      </c>
      <c r="W32" s="62">
        <v>0</v>
      </c>
    </row>
    <row r="33" spans="1:23" ht="15" x14ac:dyDescent="0.2">
      <c r="A33" s="5"/>
      <c r="B33" s="6"/>
      <c r="C33" s="9"/>
      <c r="D33" s="9"/>
      <c r="E33" s="9"/>
      <c r="F33" s="6"/>
      <c r="G33" s="9"/>
      <c r="H33" s="9"/>
      <c r="I33" s="9"/>
      <c r="J33" s="9"/>
      <c r="K33" s="9"/>
      <c r="M33" s="9"/>
      <c r="N33" s="9"/>
      <c r="O33" s="9"/>
      <c r="P33" s="9"/>
      <c r="Q33" s="9"/>
      <c r="S33" s="8"/>
      <c r="T33" s="8"/>
      <c r="U33" s="8"/>
      <c r="V33" s="8"/>
      <c r="W33" s="9"/>
    </row>
    <row r="34" spans="1:23" ht="15.75" x14ac:dyDescent="0.25">
      <c r="A34" s="10"/>
      <c r="B34" s="6" t="s">
        <v>32</v>
      </c>
      <c r="C34" s="11">
        <v>856043.12577875017</v>
      </c>
      <c r="D34" s="11">
        <f>870850.947335929-1</f>
        <v>870849.94733592903</v>
      </c>
      <c r="E34" s="11">
        <f>1726894.07311468-1</f>
        <v>1726893.0731146799</v>
      </c>
      <c r="F34" s="6"/>
      <c r="G34" s="11">
        <v>845425.28148323041</v>
      </c>
      <c r="H34" s="11">
        <f>843255.805538274-2</f>
        <v>843253.805538274</v>
      </c>
      <c r="I34" s="11">
        <f>839119.887751202-2</f>
        <v>839117.88775120198</v>
      </c>
      <c r="J34" s="11">
        <f>918104.113837118+4</f>
        <v>918108.11383711803</v>
      </c>
      <c r="K34" s="11">
        <v>3445905.088609824</v>
      </c>
      <c r="M34" s="11">
        <v>916671.17099999962</v>
      </c>
      <c r="N34" s="11">
        <f>896733.998000001+1</f>
        <v>896734.99800000095</v>
      </c>
      <c r="O34" s="11">
        <f>884790.241449867+1</f>
        <v>884791.24144986703</v>
      </c>
      <c r="P34" s="11">
        <f>978664.158491491+1</f>
        <v>978665.15849149099</v>
      </c>
      <c r="Q34" s="11">
        <f>3676859.56894136+2</f>
        <v>3676861.5689413599</v>
      </c>
      <c r="S34" s="11">
        <v>1188225</v>
      </c>
      <c r="T34" s="11">
        <v>1193470</v>
      </c>
      <c r="U34" s="11">
        <v>1202798</v>
      </c>
      <c r="V34" s="11">
        <v>1306184</v>
      </c>
      <c r="W34" s="11">
        <v>3802080.0349591733</v>
      </c>
    </row>
    <row r="35" spans="1:23" ht="15.75" x14ac:dyDescent="0.25">
      <c r="A35" s="10"/>
      <c r="B35" s="12"/>
      <c r="C35" s="13"/>
      <c r="D35" s="13"/>
      <c r="E35" s="13"/>
      <c r="F35" s="12"/>
      <c r="G35" s="13"/>
      <c r="H35" s="13"/>
      <c r="I35" s="13"/>
      <c r="J35" s="13"/>
      <c r="K35" s="13"/>
      <c r="M35" s="13"/>
      <c r="N35" s="13"/>
      <c r="O35" s="13"/>
      <c r="P35" s="13"/>
      <c r="Q35" s="13"/>
      <c r="S35" s="13"/>
      <c r="T35" s="13"/>
      <c r="U35" s="13"/>
      <c r="V35" s="13"/>
      <c r="W35" s="13"/>
    </row>
    <row r="36" spans="1:23" ht="16.5" x14ac:dyDescent="0.3">
      <c r="A36" s="6" t="s">
        <v>33</v>
      </c>
      <c r="B36" s="14"/>
      <c r="C36" s="8">
        <v>85656.969884980936</v>
      </c>
      <c r="D36" s="8">
        <f>112647.661434932+1</f>
        <v>112648.661434932</v>
      </c>
      <c r="E36" s="8">
        <f>198304.631319913+1</f>
        <v>198305.63131991299</v>
      </c>
      <c r="F36" s="14"/>
      <c r="G36" s="8">
        <v>144078.79767337465</v>
      </c>
      <c r="H36" s="8">
        <f>142541.378650623+2</f>
        <v>142543.378650623</v>
      </c>
      <c r="I36" s="8">
        <f>123207.545718793+1</f>
        <v>123208.545718793</v>
      </c>
      <c r="J36" s="8">
        <f>127324.895746995-3</f>
        <v>127321.895746995</v>
      </c>
      <c r="K36" s="8">
        <v>537152.61778978538</v>
      </c>
      <c r="M36" s="8">
        <v>120889.96500000032</v>
      </c>
      <c r="N36" s="8">
        <f>138314.949999998-1</f>
        <v>138313.949999998</v>
      </c>
      <c r="O36" s="8">
        <f>142509.133550129-1</f>
        <v>142508.13355012899</v>
      </c>
      <c r="P36" s="8">
        <v>95110.975508511299</v>
      </c>
      <c r="Q36" s="8">
        <f>496825.024058639-2</f>
        <v>496823.02405863901</v>
      </c>
      <c r="S36" s="8">
        <v>160008</v>
      </c>
      <c r="T36" s="8">
        <v>103767</v>
      </c>
      <c r="U36" s="8">
        <v>142944</v>
      </c>
      <c r="V36" s="8">
        <v>127858</v>
      </c>
      <c r="W36" s="8">
        <v>458990.13089634432</v>
      </c>
    </row>
    <row r="37" spans="1:23" ht="16.5" x14ac:dyDescent="0.3">
      <c r="A37" s="6"/>
      <c r="B37" s="14"/>
      <c r="C37" s="8"/>
      <c r="D37" s="8"/>
      <c r="E37" s="8"/>
      <c r="F37" s="14"/>
      <c r="G37" s="8"/>
      <c r="H37" s="8"/>
      <c r="I37" s="8"/>
      <c r="J37" s="8"/>
      <c r="K37" s="8"/>
      <c r="M37" s="8"/>
      <c r="N37" s="8"/>
      <c r="O37" s="8"/>
      <c r="P37" s="8"/>
      <c r="Q37" s="8"/>
      <c r="S37" s="8"/>
      <c r="T37" s="8"/>
      <c r="U37" s="8"/>
      <c r="V37" s="8"/>
      <c r="W37" s="8"/>
    </row>
    <row r="38" spans="1:23" ht="15.75" x14ac:dyDescent="0.25">
      <c r="A38" s="6" t="s">
        <v>72</v>
      </c>
      <c r="B38" s="4"/>
      <c r="C38" s="62">
        <v>20870.8362302432</v>
      </c>
      <c r="D38" s="62">
        <f>25389.6195653529-1</f>
        <v>25388.619565352899</v>
      </c>
      <c r="E38" s="11">
        <v>46260.455795596099</v>
      </c>
      <c r="F38" s="4"/>
      <c r="G38" s="62">
        <v>9123.0486069199997</v>
      </c>
      <c r="H38" s="62">
        <v>46217.331082931305</v>
      </c>
      <c r="I38" s="62">
        <v>30759.477267083304</v>
      </c>
      <c r="J38" s="62">
        <v>37058.541109562</v>
      </c>
      <c r="K38" s="11">
        <v>123158.39806649662</v>
      </c>
      <c r="M38" s="62">
        <v>36118.656000000003</v>
      </c>
      <c r="N38" s="62">
        <v>45712.78</v>
      </c>
      <c r="O38" s="62">
        <v>-5337.1009999999405</v>
      </c>
      <c r="P38" s="62">
        <v>-36997.066000000101</v>
      </c>
      <c r="Q38" s="11">
        <f>39497.269+1</f>
        <v>39498.269</v>
      </c>
      <c r="S38" s="11">
        <v>73245</v>
      </c>
      <c r="T38" s="11">
        <v>35177</v>
      </c>
      <c r="U38" s="11">
        <v>46880</v>
      </c>
      <c r="V38" s="11">
        <v>50468</v>
      </c>
      <c r="W38" s="62">
        <f>173918.753388778-1</f>
        <v>173917.75338877799</v>
      </c>
    </row>
    <row r="39" spans="1:23" ht="15.75" x14ac:dyDescent="0.25">
      <c r="A39" s="5"/>
      <c r="B39" s="6"/>
      <c r="C39" s="9"/>
      <c r="D39" s="9"/>
      <c r="E39" s="13"/>
      <c r="F39" s="6"/>
      <c r="G39" s="9"/>
      <c r="H39" s="9"/>
      <c r="I39" s="9"/>
      <c r="J39" s="9"/>
      <c r="K39" s="13"/>
      <c r="M39" s="9"/>
      <c r="N39" s="9"/>
      <c r="O39" s="9"/>
      <c r="P39" s="9"/>
      <c r="Q39" s="13"/>
      <c r="S39" s="13"/>
      <c r="T39" s="13"/>
      <c r="U39" s="13"/>
      <c r="V39" s="13"/>
      <c r="W39" s="9"/>
    </row>
    <row r="40" spans="1:23" ht="15.75" x14ac:dyDescent="0.25">
      <c r="A40" s="6" t="s">
        <v>34</v>
      </c>
      <c r="B40" s="4"/>
      <c r="C40" s="8">
        <v>64786.133654737736</v>
      </c>
      <c r="D40" s="8">
        <f>87258.0418695787+2</f>
        <v>87260.041869578694</v>
      </c>
      <c r="E40" s="8">
        <f>152044.175524317+2</f>
        <v>152046.17552431699</v>
      </c>
      <c r="F40" s="4"/>
      <c r="G40" s="8">
        <v>134955.74906645465</v>
      </c>
      <c r="H40" s="8">
        <f>96324.0475676914+2</f>
        <v>96326.047567691407</v>
      </c>
      <c r="I40" s="8">
        <f>92448.0684517098+2</f>
        <v>92450.068451709798</v>
      </c>
      <c r="J40" s="8">
        <f>90266.3546374325-3</f>
        <v>90263.354637432494</v>
      </c>
      <c r="K40" s="8">
        <f>413994.219723289+1</f>
        <v>413995.21972328902</v>
      </c>
      <c r="M40" s="8">
        <v>84771.309000000314</v>
      </c>
      <c r="N40" s="8">
        <f>92602.1699999983-1</f>
        <v>92601.169999998296</v>
      </c>
      <c r="O40" s="8">
        <f>147846.234550129-1</f>
        <v>147845.23455012901</v>
      </c>
      <c r="P40" s="8">
        <v>132108.04150851141</v>
      </c>
      <c r="Q40" s="8">
        <f>457327.755058639-3</f>
        <v>457324.75505863898</v>
      </c>
      <c r="S40" s="8">
        <v>86763</v>
      </c>
      <c r="T40" s="8">
        <v>68590</v>
      </c>
      <c r="U40" s="8">
        <v>96064</v>
      </c>
      <c r="V40" s="8">
        <v>77390</v>
      </c>
      <c r="W40" s="8">
        <f>285071.377507566+1</f>
        <v>285072.37750756601</v>
      </c>
    </row>
    <row r="41" spans="1:23" ht="15.75" x14ac:dyDescent="0.25">
      <c r="A41" s="5"/>
      <c r="B41" s="6"/>
      <c r="C41" s="13"/>
      <c r="D41" s="13"/>
      <c r="E41" s="13"/>
      <c r="F41" s="6"/>
      <c r="G41" s="13"/>
      <c r="H41" s="13"/>
      <c r="I41" s="13"/>
      <c r="J41" s="13"/>
      <c r="K41" s="13"/>
      <c r="M41" s="13"/>
      <c r="N41" s="13"/>
      <c r="O41" s="13"/>
      <c r="P41" s="13"/>
      <c r="Q41" s="13"/>
      <c r="S41" s="13"/>
      <c r="T41" s="13"/>
      <c r="U41" s="13"/>
      <c r="V41" s="13"/>
      <c r="W41" s="13"/>
    </row>
    <row r="42" spans="1:23" ht="15.75" x14ac:dyDescent="0.25">
      <c r="A42" s="6" t="s">
        <v>35</v>
      </c>
      <c r="B42" s="4"/>
      <c r="C42" s="62">
        <v>7314.1901842724001</v>
      </c>
      <c r="D42" s="62">
        <v>-91898.811301345791</v>
      </c>
      <c r="E42" s="11">
        <v>-84584.621117073388</v>
      </c>
      <c r="F42" s="4"/>
      <c r="G42" s="62">
        <v>28308.209890000002</v>
      </c>
      <c r="H42" s="62">
        <v>7891.3308699999998</v>
      </c>
      <c r="I42" s="62">
        <v>-11323.157502657203</v>
      </c>
      <c r="J42" s="62">
        <v>24667.87053</v>
      </c>
      <c r="K42" s="11">
        <v>49544.253787342801</v>
      </c>
      <c r="M42" s="62">
        <f>6126.691-1</f>
        <v>6125.6909999999998</v>
      </c>
      <c r="N42" s="62">
        <v>12927.83</v>
      </c>
      <c r="O42" s="62">
        <v>29515.766</v>
      </c>
      <c r="P42" s="62">
        <v>129959.992</v>
      </c>
      <c r="Q42" s="11">
        <v>178530.27899999998</v>
      </c>
      <c r="S42" s="11">
        <v>-3130</v>
      </c>
      <c r="T42" s="11">
        <v>-2666</v>
      </c>
      <c r="U42" s="11">
        <v>-2536</v>
      </c>
      <c r="V42" s="11">
        <v>-9772</v>
      </c>
      <c r="W42" s="62">
        <v>25631.059999999998</v>
      </c>
    </row>
    <row r="43" spans="1:23" ht="15.75" x14ac:dyDescent="0.25">
      <c r="A43" s="6"/>
      <c r="B43" s="4"/>
      <c r="C43" s="9"/>
      <c r="D43" s="9"/>
      <c r="E43" s="8"/>
      <c r="F43" s="4"/>
      <c r="G43" s="9"/>
      <c r="H43" s="9"/>
      <c r="I43" s="9"/>
      <c r="J43" s="9"/>
      <c r="K43" s="8"/>
      <c r="M43" s="9"/>
      <c r="N43" s="9"/>
      <c r="O43" s="9"/>
      <c r="P43" s="9"/>
      <c r="Q43" s="8"/>
      <c r="S43" s="8"/>
      <c r="T43" s="8"/>
      <c r="U43" s="8"/>
      <c r="V43" s="8"/>
      <c r="W43" s="9"/>
    </row>
    <row r="44" spans="1:23" ht="16.5" x14ac:dyDescent="0.3">
      <c r="A44" s="6" t="s">
        <v>36</v>
      </c>
      <c r="B44" s="14"/>
      <c r="C44" s="8">
        <v>72100.323839010132</v>
      </c>
      <c r="D44" s="8">
        <f>-4640.76943176713+2</f>
        <v>-4638.7694317671303</v>
      </c>
      <c r="E44" s="8">
        <f>67459.5544072431+1</f>
        <v>67460.554407243093</v>
      </c>
      <c r="F44" s="14"/>
      <c r="G44" s="8">
        <v>163263.95895645465</v>
      </c>
      <c r="H44" s="8">
        <f>104215.378437691+2</f>
        <v>104217.378437691</v>
      </c>
      <c r="I44" s="8">
        <f>81124.9109490525+2</f>
        <v>81126.910949052501</v>
      </c>
      <c r="J44" s="8">
        <f>114934.225167433-3</f>
        <v>114931.225167433</v>
      </c>
      <c r="K44" s="8">
        <f>463538.473510632+1</f>
        <v>463539.473510632</v>
      </c>
      <c r="M44" s="8">
        <f>90898.0000000003-1</f>
        <v>90897.000000000306</v>
      </c>
      <c r="N44" s="8">
        <f>105529.999999998-1</f>
        <v>105528.99999999801</v>
      </c>
      <c r="O44" s="8">
        <f>177362.000550129-1</f>
        <v>177361.00055012901</v>
      </c>
      <c r="P44" s="8">
        <v>262068.03350851141</v>
      </c>
      <c r="Q44" s="8">
        <f>635858.034058639-3</f>
        <v>635855.03405863896</v>
      </c>
      <c r="S44" s="8">
        <v>83633</v>
      </c>
      <c r="T44" s="8">
        <v>65924</v>
      </c>
      <c r="U44" s="8">
        <v>93528</v>
      </c>
      <c r="V44" s="8">
        <v>67618</v>
      </c>
      <c r="W44" s="8">
        <f>310702.437507566+1</f>
        <v>310703.43750756601</v>
      </c>
    </row>
    <row r="45" spans="1:23" ht="15.75" x14ac:dyDescent="0.25">
      <c r="A45" s="10"/>
      <c r="B45" s="12"/>
      <c r="C45" s="13"/>
      <c r="D45" s="13"/>
      <c r="E45" s="13"/>
      <c r="F45" s="12"/>
      <c r="G45" s="13"/>
      <c r="H45" s="13"/>
      <c r="I45" s="13"/>
      <c r="J45" s="13"/>
      <c r="K45" s="13"/>
      <c r="M45" s="13"/>
      <c r="N45" s="13"/>
      <c r="O45" s="13"/>
      <c r="P45" s="13"/>
      <c r="Q45" s="13"/>
      <c r="S45" s="13"/>
      <c r="T45" s="13"/>
      <c r="U45" s="13"/>
      <c r="V45" s="13"/>
      <c r="W45" s="13"/>
    </row>
    <row r="46" spans="1:23" ht="15.75" x14ac:dyDescent="0.25">
      <c r="A46" s="6" t="s">
        <v>37</v>
      </c>
      <c r="B46" s="4"/>
      <c r="C46" s="13"/>
      <c r="D46" s="13"/>
      <c r="E46" s="13"/>
      <c r="F46" s="4"/>
      <c r="G46" s="13"/>
      <c r="H46" s="13"/>
      <c r="I46" s="13"/>
      <c r="J46" s="13"/>
      <c r="K46" s="13"/>
      <c r="M46" s="13"/>
      <c r="N46" s="13"/>
      <c r="O46" s="13"/>
      <c r="P46" s="13"/>
      <c r="Q46" s="13"/>
      <c r="S46" s="13"/>
      <c r="T46" s="13"/>
      <c r="U46" s="13"/>
      <c r="V46" s="13"/>
      <c r="W46" s="13"/>
    </row>
    <row r="47" spans="1:23" ht="15.75" x14ac:dyDescent="0.25">
      <c r="A47" s="6" t="s">
        <v>38</v>
      </c>
      <c r="B47" s="4"/>
      <c r="C47" s="62">
        <v>4593.75</v>
      </c>
      <c r="D47" s="62">
        <v>4593.75</v>
      </c>
      <c r="E47" s="11">
        <v>9187.5</v>
      </c>
      <c r="F47" s="4"/>
      <c r="G47" s="62">
        <v>4593.75</v>
      </c>
      <c r="H47" s="62">
        <v>4593.75</v>
      </c>
      <c r="I47" s="62">
        <v>4593.75</v>
      </c>
      <c r="J47" s="62">
        <v>4593.75</v>
      </c>
      <c r="K47" s="11">
        <f>18375+1</f>
        <v>18376</v>
      </c>
      <c r="M47" s="62">
        <v>4593.75</v>
      </c>
      <c r="N47" s="62">
        <v>4593.75</v>
      </c>
      <c r="O47" s="62">
        <v>4592.75</v>
      </c>
      <c r="P47" s="62">
        <v>4593.75</v>
      </c>
      <c r="Q47" s="11">
        <f>18374+1</f>
        <v>18375</v>
      </c>
      <c r="S47" s="11">
        <v>4594</v>
      </c>
      <c r="T47" s="11">
        <v>4543</v>
      </c>
      <c r="U47" s="11">
        <v>4593</v>
      </c>
      <c r="V47" s="11">
        <v>4594</v>
      </c>
      <c r="W47" s="62">
        <v>18324.066559999999</v>
      </c>
    </row>
    <row r="48" spans="1:23" ht="15.75" x14ac:dyDescent="0.25">
      <c r="A48" s="6"/>
      <c r="B48" s="4"/>
      <c r="C48" s="9"/>
      <c r="D48" s="9"/>
      <c r="E48" s="8"/>
      <c r="F48" s="4"/>
      <c r="G48" s="9"/>
      <c r="H48" s="9"/>
      <c r="I48" s="9"/>
      <c r="J48" s="9"/>
      <c r="K48" s="8"/>
      <c r="M48" s="9"/>
      <c r="N48" s="9"/>
      <c r="O48" s="9"/>
      <c r="P48" s="9"/>
      <c r="Q48" s="8"/>
      <c r="S48" s="8"/>
      <c r="T48" s="8"/>
      <c r="U48" s="8"/>
      <c r="V48" s="8"/>
      <c r="W48" s="9"/>
    </row>
    <row r="49" spans="1:23" ht="17.25" thickBot="1" x14ac:dyDescent="0.35">
      <c r="A49" s="6" t="s">
        <v>39</v>
      </c>
      <c r="B49" s="14"/>
      <c r="C49" s="15">
        <f>67506.5738390101-1</f>
        <v>67505.573839010103</v>
      </c>
      <c r="D49" s="15">
        <f>-9234.51943176713+2</f>
        <v>-9232.5194317671303</v>
      </c>
      <c r="E49" s="15">
        <f>58272.0544072431+1</f>
        <v>58273.0544072431</v>
      </c>
      <c r="F49" s="14"/>
      <c r="G49" s="15">
        <v>158670.20895645465</v>
      </c>
      <c r="H49" s="15">
        <f>99621.6284376914+1</f>
        <v>99622.628437691397</v>
      </c>
      <c r="I49" s="15">
        <f>76531.1609490525+2</f>
        <v>76533.160949052501</v>
      </c>
      <c r="J49" s="15">
        <f>110340.475167433-3</f>
        <v>110337.475167433</v>
      </c>
      <c r="K49" s="15">
        <v>445163.47351063159</v>
      </c>
      <c r="M49" s="15">
        <f>86304.2500000003-1</f>
        <v>86303.250000000306</v>
      </c>
      <c r="N49" s="15">
        <f>100936.249999998-1</f>
        <v>100935.24999999801</v>
      </c>
      <c r="O49" s="15">
        <f>172769.250550129-1</f>
        <v>172768.25055012901</v>
      </c>
      <c r="P49" s="15">
        <v>257474.28350851141</v>
      </c>
      <c r="Q49" s="15">
        <f>617484.034058639-4</f>
        <v>617480.03405863896</v>
      </c>
      <c r="S49" s="15">
        <v>79039</v>
      </c>
      <c r="T49" s="15">
        <v>61381</v>
      </c>
      <c r="U49" s="15">
        <v>88935</v>
      </c>
      <c r="V49" s="15">
        <v>63024</v>
      </c>
      <c r="W49" s="15">
        <f>292378.370947566+1</f>
        <v>292379.370947566</v>
      </c>
    </row>
    <row r="50" spans="1:23" ht="16.5" thickTop="1" x14ac:dyDescent="0.25">
      <c r="A50" s="10"/>
      <c r="B50" s="12"/>
      <c r="C50" s="13"/>
      <c r="D50" s="13"/>
      <c r="E50" s="13"/>
      <c r="F50" s="12"/>
      <c r="G50" s="13"/>
      <c r="H50" s="13"/>
      <c r="I50" s="13"/>
      <c r="J50" s="13"/>
      <c r="K50" s="13"/>
      <c r="M50" s="13"/>
      <c r="N50" s="13"/>
      <c r="O50" s="13"/>
      <c r="P50" s="13"/>
      <c r="Q50" s="13"/>
      <c r="S50" s="13"/>
      <c r="T50" s="13"/>
      <c r="U50" s="13"/>
      <c r="V50" s="13"/>
      <c r="W50" s="13"/>
    </row>
    <row r="51" spans="1:23" ht="15.75" x14ac:dyDescent="0.25">
      <c r="A51" s="10"/>
      <c r="B51" s="12"/>
      <c r="C51" s="13"/>
      <c r="D51" s="13"/>
      <c r="E51" s="13"/>
      <c r="F51" s="12"/>
      <c r="G51" s="13"/>
      <c r="H51" s="13"/>
      <c r="I51" s="13"/>
      <c r="J51" s="13"/>
      <c r="K51" s="13"/>
      <c r="M51" s="13"/>
      <c r="N51" s="13"/>
      <c r="O51" s="13"/>
      <c r="P51" s="13"/>
      <c r="Q51" s="13"/>
      <c r="S51" s="13"/>
      <c r="T51" s="13"/>
      <c r="U51" s="13"/>
      <c r="V51" s="13"/>
      <c r="W51" s="13"/>
    </row>
    <row r="52" spans="1:23" ht="15.75" x14ac:dyDescent="0.25">
      <c r="A52" s="5" t="s">
        <v>40</v>
      </c>
      <c r="B52" s="6"/>
      <c r="C52" s="13"/>
      <c r="D52" s="13"/>
      <c r="E52" s="13"/>
      <c r="F52" s="6"/>
      <c r="G52" s="13"/>
      <c r="H52" s="13"/>
      <c r="I52" s="13"/>
      <c r="J52" s="13"/>
      <c r="K52" s="13"/>
      <c r="M52" s="13"/>
      <c r="N52" s="13"/>
      <c r="O52" s="13"/>
      <c r="P52" s="13"/>
      <c r="Q52" s="13"/>
      <c r="S52" s="13"/>
      <c r="T52" s="13"/>
      <c r="U52" s="13"/>
      <c r="V52" s="13"/>
      <c r="W52" s="13"/>
    </row>
    <row r="53" spans="1:23" ht="15" x14ac:dyDescent="0.2">
      <c r="A53" s="5"/>
      <c r="B53" s="6" t="s">
        <v>41</v>
      </c>
      <c r="C53" s="7">
        <v>60192.383654737729</v>
      </c>
      <c r="D53" s="7">
        <f>82664.2918695787+2</f>
        <v>82666.291869578694</v>
      </c>
      <c r="E53" s="7">
        <f>142856.675524317+1</f>
        <v>142857.67552431699</v>
      </c>
      <c r="F53" s="6"/>
      <c r="G53" s="7">
        <v>130361.99906645465</v>
      </c>
      <c r="H53" s="7">
        <f>91730.2975676914+2</f>
        <v>91732.297567691407</v>
      </c>
      <c r="I53" s="7">
        <f>87854.3184517098+2</f>
        <v>87856.318451709798</v>
      </c>
      <c r="J53" s="7">
        <f>85672.6046374325-4</f>
        <v>85668.604637432494</v>
      </c>
      <c r="K53" s="7">
        <v>395619.21972328878</v>
      </c>
      <c r="M53" s="7">
        <f>80177.5590000003-1</f>
        <v>80176.559000000299</v>
      </c>
      <c r="N53" s="7">
        <f>88008.4199999983-1</f>
        <v>88007.419999998296</v>
      </c>
      <c r="O53" s="7">
        <f>143253.484550129-1</f>
        <v>143252.48455012901</v>
      </c>
      <c r="P53" s="7">
        <v>127514.29150851141</v>
      </c>
      <c r="Q53" s="7">
        <f>438953.755058639-4</f>
        <v>438949.75505863898</v>
      </c>
      <c r="S53" s="7">
        <v>82169</v>
      </c>
      <c r="T53" s="7">
        <v>64047</v>
      </c>
      <c r="U53" s="7">
        <v>91471</v>
      </c>
      <c r="V53" s="7">
        <v>72796</v>
      </c>
      <c r="W53" s="7">
        <f>266747.310947566+1</f>
        <v>266748.310947566</v>
      </c>
    </row>
    <row r="54" spans="1:23" ht="15" x14ac:dyDescent="0.2">
      <c r="A54" s="5"/>
      <c r="B54" s="6" t="s">
        <v>42</v>
      </c>
      <c r="C54" s="11">
        <v>7314.1901842724001</v>
      </c>
      <c r="D54" s="11">
        <v>-91898.811301345791</v>
      </c>
      <c r="E54" s="11">
        <v>-84584.621117073388</v>
      </c>
      <c r="F54" s="6"/>
      <c r="G54" s="11">
        <v>28308.209890000002</v>
      </c>
      <c r="H54" s="11">
        <v>7891.3308699999998</v>
      </c>
      <c r="I54" s="11">
        <v>-11323.157502657203</v>
      </c>
      <c r="J54" s="11">
        <v>24667.87053</v>
      </c>
      <c r="K54" s="11">
        <v>49544.253787342801</v>
      </c>
      <c r="M54" s="11">
        <f>6126.691-1</f>
        <v>6125.6909999999998</v>
      </c>
      <c r="N54" s="11">
        <v>12927.83</v>
      </c>
      <c r="O54" s="11">
        <v>29515.766</v>
      </c>
      <c r="P54" s="11">
        <v>129959.992</v>
      </c>
      <c r="Q54" s="11">
        <v>178530.27899999998</v>
      </c>
      <c r="S54" s="11">
        <v>-3130</v>
      </c>
      <c r="T54" s="11">
        <v>-2666</v>
      </c>
      <c r="U54" s="11">
        <v>-2536</v>
      </c>
      <c r="V54" s="11">
        <v>-9772</v>
      </c>
      <c r="W54" s="11">
        <v>25631.059999999998</v>
      </c>
    </row>
    <row r="55" spans="1:23" ht="15.75" x14ac:dyDescent="0.25">
      <c r="A55" s="10"/>
      <c r="B55" s="12"/>
      <c r="C55" s="8"/>
      <c r="D55" s="8"/>
      <c r="E55" s="8"/>
      <c r="F55" s="12"/>
      <c r="G55" s="8"/>
      <c r="H55" s="8"/>
      <c r="I55" s="8"/>
      <c r="J55" s="8"/>
      <c r="K55" s="8"/>
      <c r="M55" s="8"/>
      <c r="N55" s="8"/>
      <c r="O55" s="8"/>
      <c r="P55" s="8"/>
      <c r="Q55" s="8"/>
      <c r="S55" s="8"/>
      <c r="T55" s="8"/>
      <c r="U55" s="8"/>
      <c r="V55" s="8"/>
      <c r="W55" s="8"/>
    </row>
    <row r="56" spans="1:23" ht="15.75" thickBot="1" x14ac:dyDescent="0.25">
      <c r="A56" s="5"/>
      <c r="B56" s="6" t="s">
        <v>43</v>
      </c>
      <c r="C56" s="15">
        <f>67506.5738390101-1</f>
        <v>67505.573839010103</v>
      </c>
      <c r="D56" s="15">
        <f>-9234.51943176713+2</f>
        <v>-9232.5194317671303</v>
      </c>
      <c r="E56" s="15">
        <f>58272.0544072431+1</f>
        <v>58273.0544072431</v>
      </c>
      <c r="F56" s="6"/>
      <c r="G56" s="15">
        <v>158670.20895645465</v>
      </c>
      <c r="H56" s="15">
        <f>99621.6284376914+1</f>
        <v>99622.628437691397</v>
      </c>
      <c r="I56" s="15">
        <f>76531.1609490525+2</f>
        <v>76533.160949052501</v>
      </c>
      <c r="J56" s="15">
        <f>110340.475167433-3</f>
        <v>110337.475167433</v>
      </c>
      <c r="K56" s="15">
        <v>445163.47351063159</v>
      </c>
      <c r="M56" s="15">
        <f>86304.2500000003-1</f>
        <v>86303.250000000306</v>
      </c>
      <c r="N56" s="15">
        <f>100936.249999998-1</f>
        <v>100935.24999999801</v>
      </c>
      <c r="O56" s="15">
        <f>172769.250550129-1</f>
        <v>172768.25055012901</v>
      </c>
      <c r="P56" s="15">
        <v>257474.28350851141</v>
      </c>
      <c r="Q56" s="15">
        <f>617484.034058639-4</f>
        <v>617480.03405863896</v>
      </c>
      <c r="S56" s="15">
        <v>79039</v>
      </c>
      <c r="T56" s="15">
        <v>61381</v>
      </c>
      <c r="U56" s="15">
        <v>88935</v>
      </c>
      <c r="V56" s="15">
        <v>63024</v>
      </c>
      <c r="W56" s="15">
        <f>292378.370947566+1</f>
        <v>292379.370947566</v>
      </c>
    </row>
    <row r="57" spans="1:23" ht="16.5" thickTop="1" x14ac:dyDescent="0.25">
      <c r="A57" s="10"/>
      <c r="B57" s="12"/>
      <c r="C57" s="13"/>
      <c r="D57" s="13"/>
      <c r="E57" s="13"/>
      <c r="F57" s="12"/>
      <c r="G57" s="13"/>
      <c r="H57" s="13"/>
      <c r="I57" s="13"/>
      <c r="J57" s="13"/>
      <c r="K57" s="13"/>
      <c r="M57" s="13"/>
      <c r="N57" s="13"/>
      <c r="O57" s="13"/>
      <c r="P57" s="13"/>
      <c r="Q57" s="13"/>
      <c r="S57" s="13"/>
      <c r="T57" s="13"/>
      <c r="U57" s="13"/>
      <c r="V57" s="13"/>
      <c r="W57" s="13"/>
    </row>
    <row r="58" spans="1:23" ht="15.75" x14ac:dyDescent="0.25">
      <c r="A58" s="5" t="s">
        <v>73</v>
      </c>
      <c r="B58" s="6"/>
      <c r="C58" s="13"/>
      <c r="D58" s="13"/>
      <c r="E58" s="13"/>
      <c r="F58" s="6"/>
      <c r="G58" s="13"/>
      <c r="H58" s="13"/>
      <c r="I58" s="13"/>
      <c r="J58" s="13"/>
      <c r="K58" s="13"/>
      <c r="M58" s="13"/>
      <c r="N58" s="13"/>
      <c r="O58" s="13"/>
      <c r="P58" s="13"/>
      <c r="Q58" s="13"/>
      <c r="S58" s="13"/>
      <c r="T58" s="13"/>
      <c r="U58" s="13"/>
      <c r="V58" s="13"/>
      <c r="W58" s="13"/>
    </row>
    <row r="59" spans="1:23" ht="15" x14ac:dyDescent="0.2">
      <c r="A59" s="5"/>
      <c r="B59" s="6" t="s">
        <v>44</v>
      </c>
      <c r="C59" s="16">
        <v>0.29924360910258996</v>
      </c>
      <c r="D59" s="16">
        <v>0.41010873111519025</v>
      </c>
      <c r="E59" s="16">
        <v>0.7094675051022733</v>
      </c>
      <c r="F59" s="6"/>
      <c r="G59" s="16">
        <v>0.65194202011076585</v>
      </c>
      <c r="H59" s="16">
        <v>0.45807495698796652</v>
      </c>
      <c r="I59" s="16">
        <v>0.43797269881553502</v>
      </c>
      <c r="J59" s="16">
        <v>0.42669113425002048</v>
      </c>
      <c r="K59" s="16">
        <v>1.9741773343981686</v>
      </c>
      <c r="M59" s="16">
        <v>0.39362512604623223</v>
      </c>
      <c r="N59" s="16">
        <v>0.43317411359951841</v>
      </c>
      <c r="O59" s="16">
        <v>0.71166324621294486</v>
      </c>
      <c r="P59" s="16">
        <v>0.63862557611161475</v>
      </c>
      <c r="Q59" s="16">
        <v>2.1735092762461292</v>
      </c>
      <c r="S59" s="16" t="e">
        <v>#DIV/0!</v>
      </c>
      <c r="T59" s="16" t="e">
        <v>#DIV/0!</v>
      </c>
      <c r="U59" s="16" t="e">
        <v>#DIV/0!</v>
      </c>
      <c r="V59" s="16" t="e">
        <v>#DIV/0!</v>
      </c>
      <c r="W59" s="16">
        <v>1.2949222210237412</v>
      </c>
    </row>
    <row r="60" spans="1:23" ht="15" x14ac:dyDescent="0.2">
      <c r="A60" s="5"/>
      <c r="B60" s="6" t="s">
        <v>45</v>
      </c>
      <c r="C60" s="17">
        <v>3.6362153075028401E-2</v>
      </c>
      <c r="D60" s="17">
        <v>-0.45592243085141576</v>
      </c>
      <c r="E60" s="17">
        <v>-0.42007165499057436</v>
      </c>
      <c r="F60" s="6"/>
      <c r="G60" s="17">
        <v>0.14156971873374077</v>
      </c>
      <c r="H60" s="17">
        <v>3.9407056825314937E-2</v>
      </c>
      <c r="I60" s="17">
        <v>-5.6448378838406844E-2</v>
      </c>
      <c r="J60" s="17">
        <v>0.12285796259519195</v>
      </c>
      <c r="K60" s="17">
        <v>0.24723051358590273</v>
      </c>
      <c r="M60" s="17">
        <v>3.0078485142224234E-2</v>
      </c>
      <c r="N60" s="17">
        <v>6.363029015877536E-2</v>
      </c>
      <c r="O60" s="17">
        <v>0.14663019131427316</v>
      </c>
      <c r="P60" s="17">
        <v>0.65087429636795646</v>
      </c>
      <c r="Q60" s="17">
        <v>0.88400477960479518</v>
      </c>
      <c r="S60" s="17" t="e">
        <v>#DIV/0!</v>
      </c>
      <c r="T60" s="17" t="e">
        <v>#DIV/0!</v>
      </c>
      <c r="U60" s="17" t="e">
        <v>#DIV/0!</v>
      </c>
      <c r="V60" s="17" t="e">
        <v>#DIV/0!</v>
      </c>
      <c r="W60" s="17">
        <v>0.12442573094548222</v>
      </c>
    </row>
    <row r="61" spans="1:23" ht="15" x14ac:dyDescent="0.2">
      <c r="A61" s="5"/>
      <c r="B61" s="6"/>
      <c r="C61" s="9"/>
      <c r="D61" s="9"/>
      <c r="E61" s="9"/>
      <c r="F61" s="6"/>
      <c r="G61" s="9"/>
      <c r="H61" s="9"/>
      <c r="I61" s="9"/>
      <c r="J61" s="9"/>
      <c r="K61" s="9"/>
      <c r="M61" s="9"/>
      <c r="N61" s="9"/>
      <c r="O61" s="9"/>
      <c r="P61" s="9"/>
      <c r="Q61" s="9"/>
      <c r="S61" s="9"/>
      <c r="T61" s="9"/>
      <c r="U61" s="9"/>
      <c r="V61" s="9"/>
      <c r="W61" s="9"/>
    </row>
    <row r="62" spans="1:23" ht="15.75" thickBot="1" x14ac:dyDescent="0.25">
      <c r="A62" s="5"/>
      <c r="B62" s="6" t="s">
        <v>39</v>
      </c>
      <c r="C62" s="18">
        <v>0.33560576217761839</v>
      </c>
      <c r="D62" s="18">
        <v>-4.5813699736225504E-2</v>
      </c>
      <c r="E62" s="18">
        <v>0.28939585011169894</v>
      </c>
      <c r="F62" s="6"/>
      <c r="G62" s="18">
        <v>0.79351173884450665</v>
      </c>
      <c r="H62" s="18">
        <v>0.4974820138132815</v>
      </c>
      <c r="I62" s="18">
        <v>0.38152431997712816</v>
      </c>
      <c r="J62" s="18">
        <v>0.54954909684521247</v>
      </c>
      <c r="K62" s="18">
        <v>2.2214078479840715</v>
      </c>
      <c r="M62" s="18">
        <v>0.42370361118845651</v>
      </c>
      <c r="N62" s="18">
        <v>0.49680440375829377</v>
      </c>
      <c r="O62" s="18">
        <v>0.85829343752721809</v>
      </c>
      <c r="P62" s="18">
        <v>1.2894998724795712</v>
      </c>
      <c r="Q62" s="18">
        <v>3.0575140558509246</v>
      </c>
      <c r="S62" s="18" t="e">
        <v>#DIV/0!</v>
      </c>
      <c r="T62" s="18" t="e">
        <v>#DIV/0!</v>
      </c>
      <c r="U62" s="18" t="e">
        <v>#DIV/0!</v>
      </c>
      <c r="V62" s="18" t="e">
        <v>#DIV/0!</v>
      </c>
      <c r="W62" s="18">
        <v>1.4193479519692234</v>
      </c>
    </row>
    <row r="63" spans="1:23" ht="16.5" thickTop="1" x14ac:dyDescent="0.25">
      <c r="A63" s="10"/>
      <c r="B63" s="12"/>
      <c r="C63" s="8"/>
      <c r="D63" s="8"/>
      <c r="E63" s="8"/>
      <c r="F63" s="12"/>
      <c r="G63" s="8"/>
      <c r="H63" s="8"/>
      <c r="I63" s="8"/>
      <c r="J63" s="8"/>
      <c r="K63" s="8"/>
      <c r="M63" s="8"/>
      <c r="N63" s="8"/>
      <c r="O63" s="8"/>
      <c r="P63" s="8"/>
      <c r="Q63" s="8"/>
      <c r="S63" s="8"/>
      <c r="T63" s="8"/>
      <c r="U63" s="8"/>
      <c r="V63" s="8"/>
      <c r="W63" s="8"/>
    </row>
    <row r="64" spans="1:23" ht="15" x14ac:dyDescent="0.2">
      <c r="A64" s="5" t="s">
        <v>74</v>
      </c>
      <c r="B64" s="6"/>
      <c r="C64" s="8"/>
      <c r="D64" s="8"/>
      <c r="E64" s="8"/>
      <c r="F64" s="6"/>
      <c r="G64" s="8"/>
      <c r="H64" s="8"/>
      <c r="I64" s="8"/>
      <c r="J64" s="8"/>
      <c r="K64" s="8"/>
      <c r="M64" s="8"/>
      <c r="N64" s="8"/>
      <c r="O64" s="8"/>
      <c r="P64" s="8"/>
      <c r="Q64" s="8"/>
      <c r="S64" s="8"/>
      <c r="T64" s="8"/>
      <c r="U64" s="8"/>
      <c r="V64" s="8"/>
      <c r="W64" s="8"/>
    </row>
    <row r="65" spans="1:23" ht="15" x14ac:dyDescent="0.2">
      <c r="A65" s="5"/>
      <c r="B65" s="6" t="s">
        <v>44</v>
      </c>
      <c r="C65" s="19">
        <v>0.29767242072382327</v>
      </c>
      <c r="D65" s="19">
        <v>0.40760945884319821</v>
      </c>
      <c r="E65" s="19">
        <v>0.70588285982459653</v>
      </c>
      <c r="F65" s="6"/>
      <c r="G65" s="19">
        <v>0.64962619890949513</v>
      </c>
      <c r="H65" s="19">
        <v>0.45611671724744834</v>
      </c>
      <c r="I65" s="19">
        <v>0.43578102546486752</v>
      </c>
      <c r="J65" s="19">
        <v>0.42397179258168977</v>
      </c>
      <c r="K65" s="16">
        <v>1.9646759961131737</v>
      </c>
      <c r="M65" s="19">
        <v>0.39265159213779993</v>
      </c>
      <c r="N65" s="19">
        <v>0.43123501953858168</v>
      </c>
      <c r="O65" s="19">
        <v>0.70849346755054388</v>
      </c>
      <c r="P65" s="19">
        <v>0.63597028469633132</v>
      </c>
      <c r="Q65" s="16">
        <v>2.1648297534824184</v>
      </c>
      <c r="S65" s="19" t="e">
        <v>#DIV/0!</v>
      </c>
      <c r="T65" s="19" t="e">
        <v>#DIV/0!</v>
      </c>
      <c r="U65" s="19" t="e">
        <v>#DIV/0!</v>
      </c>
      <c r="V65" s="19" t="e">
        <v>#DIV/0!</v>
      </c>
      <c r="W65" s="16">
        <v>1.290174633934789</v>
      </c>
    </row>
    <row r="66" spans="1:23" ht="15" x14ac:dyDescent="0.2">
      <c r="A66" s="5"/>
      <c r="B66" s="6" t="s">
        <v>45</v>
      </c>
      <c r="C66" s="17">
        <v>3.6171232398360467E-2</v>
      </c>
      <c r="D66" s="17">
        <v>-0.45314396211092434</v>
      </c>
      <c r="E66" s="17">
        <v>-0.41794920700878729</v>
      </c>
      <c r="F66" s="6"/>
      <c r="G66" s="17">
        <v>0.14106683635158379</v>
      </c>
      <c r="H66" s="17">
        <v>3.9238594298483948E-2</v>
      </c>
      <c r="I66" s="17">
        <v>-5.6165903679742613E-2</v>
      </c>
      <c r="J66" s="17">
        <v>0.12207497755014633</v>
      </c>
      <c r="K66" s="17">
        <v>0.24604064036477752</v>
      </c>
      <c r="M66" s="17">
        <v>3.0004093485638796E-2</v>
      </c>
      <c r="N66" s="17">
        <v>6.3345450613038715E-2</v>
      </c>
      <c r="O66" s="17">
        <v>0.14597709414483934</v>
      </c>
      <c r="P66" s="17">
        <v>0.64816807695517109</v>
      </c>
      <c r="Q66" s="17">
        <v>0.88047466372644911</v>
      </c>
      <c r="S66" s="17" t="e">
        <v>#DIV/0!</v>
      </c>
      <c r="T66" s="17" t="e">
        <v>#DIV/0!</v>
      </c>
      <c r="U66" s="17" t="e">
        <v>#DIV/0!</v>
      </c>
      <c r="V66" s="17" t="e">
        <v>#DIV/0!</v>
      </c>
      <c r="W66" s="17">
        <v>0.1239695475669136</v>
      </c>
    </row>
    <row r="67" spans="1:23" ht="15" x14ac:dyDescent="0.2">
      <c r="A67" s="5"/>
      <c r="B67" s="6"/>
      <c r="C67" s="9"/>
      <c r="D67" s="9"/>
      <c r="E67" s="9"/>
      <c r="F67" s="6"/>
      <c r="G67" s="9"/>
      <c r="H67" s="9"/>
      <c r="I67" s="9"/>
      <c r="J67" s="9"/>
      <c r="K67" s="9"/>
      <c r="M67" s="9"/>
      <c r="N67" s="9"/>
      <c r="O67" s="9"/>
      <c r="P67" s="9"/>
      <c r="Q67" s="9"/>
      <c r="S67" s="9"/>
      <c r="T67" s="9"/>
      <c r="U67" s="9"/>
      <c r="V67" s="9"/>
      <c r="W67" s="9"/>
    </row>
    <row r="68" spans="1:23" ht="15.75" thickBot="1" x14ac:dyDescent="0.25">
      <c r="A68" s="5"/>
      <c r="B68" s="6" t="s">
        <v>39</v>
      </c>
      <c r="C68" s="18">
        <v>0.33384365312218373</v>
      </c>
      <c r="D68" s="18">
        <v>-4.553450326772613E-2</v>
      </c>
      <c r="E68" s="18">
        <v>0.28793365281580929</v>
      </c>
      <c r="F68" s="6"/>
      <c r="G68" s="18">
        <v>0.79069303526107892</v>
      </c>
      <c r="H68" s="18">
        <v>0.49535531154593232</v>
      </c>
      <c r="I68" s="18">
        <v>0.37961512178512485</v>
      </c>
      <c r="J68" s="18">
        <v>0.54604677013183611</v>
      </c>
      <c r="K68" s="18">
        <v>2.2107166364779514</v>
      </c>
      <c r="M68" s="18">
        <v>0.42265568562343875</v>
      </c>
      <c r="N68" s="18">
        <v>0.49458047015162038</v>
      </c>
      <c r="O68" s="18">
        <v>0.85447056169538316</v>
      </c>
      <c r="P68" s="18">
        <v>1.2841383616515023</v>
      </c>
      <c r="Q68" s="18">
        <v>3.0453044172088677</v>
      </c>
      <c r="S68" s="18" t="e">
        <v>#DIV/0!</v>
      </c>
      <c r="T68" s="18" t="e">
        <v>#DIV/0!</v>
      </c>
      <c r="U68" s="18" t="e">
        <v>#DIV/0!</v>
      </c>
      <c r="V68" s="18" t="e">
        <v>#DIV/0!</v>
      </c>
      <c r="W68" s="18">
        <v>1.4141441815017026</v>
      </c>
    </row>
    <row r="69" spans="1:23" ht="13.5" thickTop="1" x14ac:dyDescent="0.2"/>
    <row r="70" spans="1:23" ht="15" x14ac:dyDescent="0.2">
      <c r="A70" s="6" t="s">
        <v>76</v>
      </c>
      <c r="C70" s="66">
        <v>201148435</v>
      </c>
      <c r="D70" s="66">
        <v>201566769</v>
      </c>
      <c r="E70" s="66">
        <v>201357602</v>
      </c>
      <c r="F70" s="67"/>
      <c r="G70" s="66">
        <v>199959498</v>
      </c>
      <c r="H70" s="66">
        <v>200251719</v>
      </c>
      <c r="I70" s="66">
        <v>200593139</v>
      </c>
      <c r="J70" s="66">
        <v>200783653</v>
      </c>
      <c r="K70" s="66">
        <v>200397002.25</v>
      </c>
      <c r="L70" s="67"/>
      <c r="M70" s="66">
        <v>203690145</v>
      </c>
      <c r="N70" s="66">
        <v>203171005</v>
      </c>
      <c r="O70" s="66">
        <v>201293920</v>
      </c>
      <c r="P70" s="66">
        <v>199669879</v>
      </c>
      <c r="Q70" s="66">
        <v>201956237.25</v>
      </c>
      <c r="R70" s="67"/>
      <c r="S70" s="67"/>
      <c r="T70" s="67"/>
      <c r="U70" s="67"/>
      <c r="V70" s="67"/>
      <c r="W70" s="66">
        <v>205994851.75</v>
      </c>
    </row>
    <row r="71" spans="1:23" ht="15" x14ac:dyDescent="0.2">
      <c r="A71" s="6" t="s">
        <v>77</v>
      </c>
      <c r="C71" s="66">
        <v>202210146</v>
      </c>
      <c r="D71" s="66">
        <v>202802683</v>
      </c>
      <c r="E71" s="66">
        <v>202380145</v>
      </c>
      <c r="F71" s="67"/>
      <c r="G71" s="66">
        <v>200672324</v>
      </c>
      <c r="H71" s="66">
        <v>201111457</v>
      </c>
      <c r="I71" s="66">
        <v>201601982</v>
      </c>
      <c r="J71" s="66">
        <v>202071473</v>
      </c>
      <c r="K71" s="66">
        <v>201366139</v>
      </c>
      <c r="L71" s="67"/>
      <c r="M71" s="66">
        <v>204195171</v>
      </c>
      <c r="N71" s="66">
        <v>204084585</v>
      </c>
      <c r="O71" s="66">
        <v>202194503</v>
      </c>
      <c r="P71" s="66">
        <v>200503537</v>
      </c>
      <c r="Q71" s="66">
        <v>202765947</v>
      </c>
      <c r="R71" s="67"/>
      <c r="S71" s="67"/>
      <c r="T71" s="67"/>
      <c r="U71" s="67"/>
      <c r="V71" s="67"/>
      <c r="W71" s="66">
        <v>206752872</v>
      </c>
    </row>
    <row r="73" spans="1:23" ht="21" x14ac:dyDescent="0.25">
      <c r="A73" s="65" t="s">
        <v>46</v>
      </c>
      <c r="B73" s="6" t="s">
        <v>75</v>
      </c>
      <c r="C73" s="20"/>
      <c r="D73" s="20"/>
      <c r="E73" s="20"/>
    </row>
  </sheetData>
  <mergeCells count="3">
    <mergeCell ref="A1:W1"/>
    <mergeCell ref="A2:W2"/>
    <mergeCell ref="A3:W3"/>
  </mergeCells>
  <printOptions horizontalCentered="1"/>
  <pageMargins left="0.25" right="0.25" top="0.5" bottom="0.5" header="0.3" footer="0.15"/>
  <pageSetup paperSize="3" scale="64" orientation="landscape" verticalDpi="0" r:id="rId1"/>
  <headerFooter>
    <oddFooter>&amp;L&amp;Z&amp;F&amp;C&amp;A&amp;R&amp;T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50" zoomScaleNormal="50" workbookViewId="0"/>
  </sheetViews>
  <sheetFormatPr defaultRowHeight="12.75" x14ac:dyDescent="0.2"/>
  <cols>
    <col min="1" max="1" width="1.140625" customWidth="1"/>
    <col min="2" max="2" width="72.85546875" customWidth="1"/>
    <col min="3" max="5" width="20.7109375" customWidth="1"/>
    <col min="6" max="6" width="2.7109375" customWidth="1"/>
    <col min="7" max="11" width="20.7109375" customWidth="1"/>
    <col min="12" max="12" width="2.7109375" customWidth="1"/>
    <col min="13" max="17" width="20.7109375" customWidth="1"/>
    <col min="18" max="18" width="2.7109375" customWidth="1"/>
    <col min="19" max="19" width="20.7109375" customWidth="1"/>
  </cols>
  <sheetData>
    <row r="1" spans="1:19" ht="23.25" x14ac:dyDescent="0.35">
      <c r="A1" s="25" t="s">
        <v>0</v>
      </c>
      <c r="B1" s="25"/>
      <c r="C1" s="26"/>
      <c r="D1" s="26"/>
      <c r="E1" s="26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3.25" x14ac:dyDescent="0.35">
      <c r="A2" s="25" t="s">
        <v>47</v>
      </c>
      <c r="B2" s="25"/>
      <c r="C2" s="26"/>
      <c r="D2" s="26"/>
      <c r="E2" s="26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7"/>
      <c r="S2" s="25"/>
    </row>
    <row r="3" spans="1:19" ht="23.25" x14ac:dyDescent="0.35">
      <c r="A3" s="25" t="s">
        <v>70</v>
      </c>
      <c r="B3" s="25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7"/>
      <c r="S3" s="25"/>
    </row>
    <row r="4" spans="1:19" ht="23.25" x14ac:dyDescent="0.35">
      <c r="A4" s="26" t="s">
        <v>1</v>
      </c>
      <c r="B4" s="25"/>
      <c r="C4" s="26"/>
      <c r="D4" s="26"/>
      <c r="E4" s="26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7"/>
      <c r="S4" s="25"/>
    </row>
    <row r="5" spans="1:19" ht="23.25" x14ac:dyDescent="0.35">
      <c r="A5" s="28"/>
      <c r="B5" s="28"/>
      <c r="C5" s="29"/>
      <c r="D5" s="29"/>
      <c r="E5" s="29"/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S5" s="28"/>
    </row>
    <row r="6" spans="1:19" ht="20.25" x14ac:dyDescent="0.3">
      <c r="A6" s="30" t="s">
        <v>68</v>
      </c>
      <c r="B6" s="31"/>
      <c r="C6" s="55">
        <v>2013</v>
      </c>
      <c r="D6" s="56"/>
      <c r="E6" s="56"/>
      <c r="F6" s="32"/>
      <c r="G6" s="55">
        <v>2012</v>
      </c>
      <c r="H6" s="56"/>
      <c r="I6" s="56"/>
      <c r="J6" s="56"/>
      <c r="K6" s="56"/>
      <c r="L6" s="33"/>
      <c r="M6" s="55">
        <v>2011</v>
      </c>
      <c r="N6" s="56"/>
      <c r="O6" s="56"/>
      <c r="P6" s="56"/>
      <c r="Q6" s="56"/>
      <c r="R6" s="57"/>
      <c r="S6" s="55">
        <v>2010</v>
      </c>
    </row>
    <row r="7" spans="1:19" ht="20.25" x14ac:dyDescent="0.3">
      <c r="A7" s="34"/>
      <c r="B7" s="35"/>
      <c r="C7" s="58" t="s">
        <v>2</v>
      </c>
      <c r="D7" s="58" t="s">
        <v>3</v>
      </c>
      <c r="E7" s="58" t="s">
        <v>4</v>
      </c>
      <c r="F7" s="36"/>
      <c r="G7" s="58" t="s">
        <v>2</v>
      </c>
      <c r="H7" s="58" t="s">
        <v>3</v>
      </c>
      <c r="I7" s="58" t="s">
        <v>5</v>
      </c>
      <c r="J7" s="58" t="s">
        <v>6</v>
      </c>
      <c r="K7" s="58" t="s">
        <v>7</v>
      </c>
      <c r="L7" s="33"/>
      <c r="M7" s="58" t="s">
        <v>2</v>
      </c>
      <c r="N7" s="58" t="s">
        <v>3</v>
      </c>
      <c r="O7" s="58" t="s">
        <v>5</v>
      </c>
      <c r="P7" s="58" t="s">
        <v>6</v>
      </c>
      <c r="Q7" s="58" t="s">
        <v>7</v>
      </c>
      <c r="R7" s="57"/>
      <c r="S7" s="58" t="s">
        <v>7</v>
      </c>
    </row>
    <row r="8" spans="1:19" ht="20.25" x14ac:dyDescent="0.3">
      <c r="A8" s="37" t="s">
        <v>48</v>
      </c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57"/>
      <c r="S8" s="33"/>
    </row>
    <row r="9" spans="1:19" ht="20.25" x14ac:dyDescent="0.3">
      <c r="A9" s="37"/>
      <c r="B9" s="3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57"/>
      <c r="S9" s="33"/>
    </row>
    <row r="10" spans="1:19" ht="20.25" x14ac:dyDescent="0.3">
      <c r="A10" s="35"/>
      <c r="B10" s="35" t="s">
        <v>49</v>
      </c>
      <c r="C10" s="38">
        <v>430375.30563831504</v>
      </c>
      <c r="D10" s="38">
        <v>432888.72797608899</v>
      </c>
      <c r="E10" s="38">
        <v>863264.03361440403</v>
      </c>
      <c r="F10" s="38"/>
      <c r="G10" s="38">
        <v>461305.35330999998</v>
      </c>
      <c r="H10" s="38">
        <v>453483.58863053401</v>
      </c>
      <c r="I10" s="38">
        <v>447920.25302086503</v>
      </c>
      <c r="J10" s="38">
        <v>456242.906217393</v>
      </c>
      <c r="K10" s="38">
        <v>1818952.1011787918</v>
      </c>
      <c r="L10" s="33"/>
      <c r="M10" s="38">
        <v>509039</v>
      </c>
      <c r="N10" s="38">
        <v>493653.25763999502</v>
      </c>
      <c r="O10" s="38">
        <v>475663.223790002</v>
      </c>
      <c r="P10" s="38">
        <v>482843.22364999901</v>
      </c>
      <c r="Q10" s="38">
        <f>1961198.70508-1</f>
        <v>1961197.70508</v>
      </c>
      <c r="R10" s="57"/>
      <c r="S10" s="38">
        <v>2100677</v>
      </c>
    </row>
    <row r="11" spans="1:19" ht="20.25" x14ac:dyDescent="0.3">
      <c r="A11" s="35"/>
      <c r="B11" s="39" t="s">
        <v>50</v>
      </c>
      <c r="C11" s="51">
        <v>167454.743270865</v>
      </c>
      <c r="D11" s="51">
        <v>164556.37162879802</v>
      </c>
      <c r="E11" s="33">
        <v>332011.11489966302</v>
      </c>
      <c r="F11" s="33"/>
      <c r="G11" s="51">
        <v>168013.99999200003</v>
      </c>
      <c r="H11" s="51">
        <v>165480.34770955</v>
      </c>
      <c r="I11" s="51">
        <v>154170.17572169201</v>
      </c>
      <c r="J11" s="51">
        <v>187972.699706921</v>
      </c>
      <c r="K11" s="33">
        <v>675637.22313016304</v>
      </c>
      <c r="L11" s="33"/>
      <c r="M11" s="51">
        <v>170533</v>
      </c>
      <c r="N11" s="51">
        <v>176157.99999999898</v>
      </c>
      <c r="O11" s="51">
        <v>177797</v>
      </c>
      <c r="P11" s="51">
        <v>182928</v>
      </c>
      <c r="Q11" s="33">
        <v>707415.99999999895</v>
      </c>
      <c r="R11" s="57"/>
      <c r="S11" s="51">
        <v>674759</v>
      </c>
    </row>
    <row r="12" spans="1:19" ht="20.25" x14ac:dyDescent="0.3">
      <c r="A12" s="35"/>
      <c r="B12" s="40" t="s">
        <v>51</v>
      </c>
      <c r="C12" s="59">
        <v>597830.0489091801</v>
      </c>
      <c r="D12" s="59">
        <v>597445.09960488696</v>
      </c>
      <c r="E12" s="59">
        <v>1195275.1485140671</v>
      </c>
      <c r="F12" s="41"/>
      <c r="G12" s="59">
        <v>629319.35330199997</v>
      </c>
      <c r="H12" s="59">
        <v>618963.93634008407</v>
      </c>
      <c r="I12" s="59">
        <v>602090.42874255707</v>
      </c>
      <c r="J12" s="59">
        <v>644215.605924314</v>
      </c>
      <c r="K12" s="59">
        <v>2494589.3243089551</v>
      </c>
      <c r="L12" s="33"/>
      <c r="M12" s="59">
        <v>679572</v>
      </c>
      <c r="N12" s="59">
        <v>669811.25763999403</v>
      </c>
      <c r="O12" s="59">
        <v>653460.22379000206</v>
      </c>
      <c r="P12" s="59">
        <v>665771.22364999901</v>
      </c>
      <c r="Q12" s="59">
        <f>2668614.70508-1</f>
        <v>2668613.7050800002</v>
      </c>
      <c r="R12" s="57"/>
      <c r="S12" s="59">
        <v>2775436</v>
      </c>
    </row>
    <row r="13" spans="1:19" ht="20.25" x14ac:dyDescent="0.3">
      <c r="A13" s="35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33"/>
      <c r="M13" s="41"/>
      <c r="N13" s="41"/>
      <c r="O13" s="41"/>
      <c r="P13" s="41"/>
      <c r="Q13" s="41"/>
      <c r="R13" s="57"/>
      <c r="S13" s="41"/>
    </row>
    <row r="14" spans="1:19" ht="20.25" x14ac:dyDescent="0.3">
      <c r="A14" s="35"/>
      <c r="B14" s="39" t="s">
        <v>52</v>
      </c>
      <c r="C14" s="51">
        <v>118801.656498349</v>
      </c>
      <c r="D14" s="51">
        <v>144986.15584122101</v>
      </c>
      <c r="E14" s="33">
        <v>263787.81233957002</v>
      </c>
      <c r="F14" s="42"/>
      <c r="G14" s="51">
        <v>115016.000008</v>
      </c>
      <c r="H14" s="51">
        <v>123067.15988623201</v>
      </c>
      <c r="I14" s="51">
        <v>122250.54894061699</v>
      </c>
      <c r="J14" s="51">
        <v>151775.45911657301</v>
      </c>
      <c r="K14" s="33">
        <v>512109.16795142205</v>
      </c>
      <c r="L14" s="33"/>
      <c r="M14" s="51">
        <v>131606</v>
      </c>
      <c r="N14" s="51">
        <v>133769</v>
      </c>
      <c r="O14" s="51">
        <v>117220</v>
      </c>
      <c r="P14" s="51">
        <v>161888</v>
      </c>
      <c r="Q14" s="33">
        <v>544483</v>
      </c>
      <c r="R14" s="57"/>
      <c r="S14" s="51">
        <v>561447</v>
      </c>
    </row>
    <row r="15" spans="1:19" ht="20.25" x14ac:dyDescent="0.3">
      <c r="A15" s="35"/>
      <c r="B15" s="39" t="s">
        <v>11</v>
      </c>
      <c r="C15" s="51">
        <v>80720.576864599294</v>
      </c>
      <c r="D15" s="51">
        <v>92241.840386173499</v>
      </c>
      <c r="E15" s="33">
        <f>172962.417250773+1</f>
        <v>172963.417250773</v>
      </c>
      <c r="F15" s="42"/>
      <c r="G15" s="51">
        <v>100327</v>
      </c>
      <c r="H15" s="51">
        <v>99873.852792402293</v>
      </c>
      <c r="I15" s="51">
        <v>88628.668311045389</v>
      </c>
      <c r="J15" s="51">
        <v>104550.231832167</v>
      </c>
      <c r="K15" s="33">
        <v>393379.75293561467</v>
      </c>
      <c r="L15" s="33"/>
      <c r="M15" s="51">
        <v>95985</v>
      </c>
      <c r="N15" s="51">
        <v>99782.999999999709</v>
      </c>
      <c r="O15" s="51">
        <v>109153</v>
      </c>
      <c r="P15" s="51">
        <v>102481</v>
      </c>
      <c r="Q15" s="33">
        <v>407401.99999999971</v>
      </c>
      <c r="R15" s="57"/>
      <c r="S15" s="51">
        <v>374750.22174948198</v>
      </c>
    </row>
    <row r="16" spans="1:19" ht="20.25" x14ac:dyDescent="0.3">
      <c r="A16" s="35"/>
      <c r="B16" s="39" t="s">
        <v>53</v>
      </c>
      <c r="C16" s="51">
        <v>0</v>
      </c>
      <c r="D16" s="51">
        <v>0</v>
      </c>
      <c r="E16" s="33">
        <v>0</v>
      </c>
      <c r="F16" s="42"/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33"/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7"/>
      <c r="S16" s="51">
        <v>0</v>
      </c>
    </row>
    <row r="17" spans="1:19" ht="20.25" x14ac:dyDescent="0.3">
      <c r="A17" s="35"/>
      <c r="B17" s="39" t="s">
        <v>54</v>
      </c>
      <c r="C17" s="51">
        <v>118855.363668429</v>
      </c>
      <c r="D17" s="51">
        <v>119057.833003582</v>
      </c>
      <c r="E17" s="33">
        <v>237913.19667201099</v>
      </c>
      <c r="F17" s="42"/>
      <c r="G17" s="51">
        <v>114636.07799999999</v>
      </c>
      <c r="H17" s="51">
        <v>108044.51218815701</v>
      </c>
      <c r="I17" s="51">
        <v>109721.467295795</v>
      </c>
      <c r="J17" s="51">
        <v>112689.517420812</v>
      </c>
      <c r="K17" s="33">
        <v>445091.57490476395</v>
      </c>
      <c r="L17" s="33"/>
      <c r="M17" s="51">
        <v>100398.485</v>
      </c>
      <c r="N17" s="51">
        <v>95299.005000000296</v>
      </c>
      <c r="O17" s="51">
        <v>106088</v>
      </c>
      <c r="P17" s="51">
        <v>109848.95699999999</v>
      </c>
      <c r="Q17" s="33">
        <v>411634.44700000028</v>
      </c>
      <c r="R17" s="57"/>
      <c r="S17" s="51">
        <v>407897.43597745697</v>
      </c>
    </row>
    <row r="18" spans="1:19" ht="20.25" x14ac:dyDescent="0.3">
      <c r="A18" s="35"/>
      <c r="B18" s="39" t="s">
        <v>55</v>
      </c>
      <c r="C18" s="51">
        <v>25491.941800000001</v>
      </c>
      <c r="D18" s="51">
        <v>29768.099899999997</v>
      </c>
      <c r="E18" s="33">
        <v>55260.041700000002</v>
      </c>
      <c r="F18" s="42"/>
      <c r="G18" s="51">
        <v>30208</v>
      </c>
      <c r="H18" s="51">
        <v>35845.238020000004</v>
      </c>
      <c r="I18" s="51">
        <v>39636.829180000001</v>
      </c>
      <c r="J18" s="51">
        <v>32195.742039999997</v>
      </c>
      <c r="K18" s="33">
        <v>137885.80924</v>
      </c>
      <c r="L18" s="33"/>
      <c r="M18" s="51">
        <v>29999</v>
      </c>
      <c r="N18" s="51">
        <v>36377</v>
      </c>
      <c r="O18" s="51">
        <v>41408</v>
      </c>
      <c r="P18" s="51">
        <v>33788</v>
      </c>
      <c r="Q18" s="33">
        <v>141572</v>
      </c>
      <c r="R18" s="57"/>
      <c r="S18" s="51">
        <v>141537.85659000001</v>
      </c>
    </row>
    <row r="19" spans="1:19" ht="20.25" x14ac:dyDescent="0.3">
      <c r="A19" s="35"/>
      <c r="B19" s="40" t="s">
        <v>56</v>
      </c>
      <c r="C19" s="59">
        <v>343869.53883137729</v>
      </c>
      <c r="D19" s="59">
        <v>386053.9291309765</v>
      </c>
      <c r="E19" s="59">
        <f>729923.467962354+1</f>
        <v>729924.46796235396</v>
      </c>
      <c r="F19" s="41"/>
      <c r="G19" s="59">
        <v>360185.07800799998</v>
      </c>
      <c r="H19" s="59">
        <v>366832.76288679132</v>
      </c>
      <c r="I19" s="59">
        <v>360237.51372745738</v>
      </c>
      <c r="J19" s="59">
        <v>401211.95040955197</v>
      </c>
      <c r="K19" s="59">
        <f>1488467.3050318+2</f>
        <v>1488469.3050317999</v>
      </c>
      <c r="L19" s="33"/>
      <c r="M19" s="59">
        <v>357989.48499999999</v>
      </c>
      <c r="N19" s="59">
        <v>365238.005</v>
      </c>
      <c r="O19" s="59">
        <v>373839</v>
      </c>
      <c r="P19" s="59">
        <v>408003.95699999999</v>
      </c>
      <c r="Q19" s="59">
        <v>1505070.4470000002</v>
      </c>
      <c r="R19" s="57"/>
      <c r="S19" s="59">
        <v>1485634.5143169388</v>
      </c>
    </row>
    <row r="20" spans="1:19" ht="20.25" x14ac:dyDescent="0.3">
      <c r="A20" s="35"/>
      <c r="B20" s="35"/>
      <c r="C20" s="42"/>
      <c r="D20" s="42"/>
      <c r="E20" s="42"/>
      <c r="F20" s="42"/>
      <c r="G20" s="42"/>
      <c r="H20" s="42"/>
      <c r="I20" s="42"/>
      <c r="J20" s="42"/>
      <c r="K20" s="42"/>
      <c r="L20" s="33"/>
      <c r="M20" s="42"/>
      <c r="N20" s="42"/>
      <c r="O20" s="42"/>
      <c r="P20" s="42"/>
      <c r="Q20" s="42"/>
      <c r="R20" s="57"/>
      <c r="S20" s="42"/>
    </row>
    <row r="21" spans="1:19" ht="21" thickBot="1" x14ac:dyDescent="0.35">
      <c r="A21" s="43" t="s">
        <v>57</v>
      </c>
      <c r="B21" s="35"/>
      <c r="C21" s="60">
        <v>941699.58774055738</v>
      </c>
      <c r="D21" s="60">
        <v>983499.02873586351</v>
      </c>
      <c r="E21" s="60">
        <v>1925198.6164764208</v>
      </c>
      <c r="F21" s="44"/>
      <c r="G21" s="60">
        <v>989504.4313099999</v>
      </c>
      <c r="H21" s="60">
        <v>985796.69922687532</v>
      </c>
      <c r="I21" s="60">
        <f>962327.942470014-1</f>
        <v>962326.94247001398</v>
      </c>
      <c r="J21" s="60">
        <f>1045427.55633387+2</f>
        <v>1045429.55633387</v>
      </c>
      <c r="K21" s="60">
        <f>3983056.62934076+1</f>
        <v>3983057.6293407599</v>
      </c>
      <c r="L21" s="45"/>
      <c r="M21" s="60">
        <v>1037561.485</v>
      </c>
      <c r="N21" s="60">
        <v>1035049.262639994</v>
      </c>
      <c r="O21" s="60">
        <v>1027299.2237900021</v>
      </c>
      <c r="P21" s="60">
        <f>1073775.18065+1</f>
        <v>1073776.18065</v>
      </c>
      <c r="Q21" s="60">
        <v>4173685.1520799953</v>
      </c>
      <c r="R21" s="57"/>
      <c r="S21" s="60">
        <f>4261070.51431694-1</f>
        <v>4261069.5143169397</v>
      </c>
    </row>
    <row r="22" spans="1:19" ht="21" thickTop="1" x14ac:dyDescent="0.3">
      <c r="A22" s="34"/>
      <c r="B22" s="40"/>
      <c r="C22" s="46"/>
      <c r="D22" s="46"/>
      <c r="E22" s="46"/>
      <c r="F22" s="46"/>
      <c r="G22" s="46"/>
      <c r="H22" s="46"/>
      <c r="I22" s="46"/>
      <c r="J22" s="46"/>
      <c r="K22" s="46"/>
      <c r="L22" s="33"/>
      <c r="M22" s="46"/>
      <c r="N22" s="46"/>
      <c r="O22" s="46"/>
      <c r="P22" s="46"/>
      <c r="Q22" s="46"/>
      <c r="R22" s="57"/>
      <c r="S22" s="46"/>
    </row>
    <row r="23" spans="1:19" ht="20.25" x14ac:dyDescent="0.3">
      <c r="A23" s="47" t="s">
        <v>58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33"/>
      <c r="M23" s="41"/>
      <c r="N23" s="41"/>
      <c r="O23" s="41"/>
      <c r="P23" s="41"/>
      <c r="Q23" s="41"/>
      <c r="R23" s="57"/>
      <c r="S23" s="41"/>
    </row>
    <row r="24" spans="1:19" ht="20.25" x14ac:dyDescent="0.3">
      <c r="A24" s="34"/>
      <c r="B24" s="40"/>
      <c r="C24" s="42"/>
      <c r="D24" s="42"/>
      <c r="E24" s="42"/>
      <c r="F24" s="42"/>
      <c r="G24" s="42"/>
      <c r="H24" s="42"/>
      <c r="I24" s="42"/>
      <c r="J24" s="42"/>
      <c r="K24" s="42"/>
      <c r="L24" s="33"/>
      <c r="M24" s="42"/>
      <c r="N24" s="42"/>
      <c r="O24" s="42"/>
      <c r="P24" s="42"/>
      <c r="Q24" s="42"/>
      <c r="R24" s="57"/>
      <c r="S24" s="42"/>
    </row>
    <row r="25" spans="1:19" ht="20.25" x14ac:dyDescent="0.3">
      <c r="A25" s="35"/>
      <c r="B25" s="35" t="s">
        <v>49</v>
      </c>
      <c r="C25" s="38">
        <v>154505.32659135401</v>
      </c>
      <c r="D25" s="38">
        <v>166362.99981365202</v>
      </c>
      <c r="E25" s="38">
        <v>320868.326405006</v>
      </c>
      <c r="F25" s="48"/>
      <c r="G25" s="38">
        <v>178171.35331000001</v>
      </c>
      <c r="H25" s="38">
        <v>167869.83222531801</v>
      </c>
      <c r="I25" s="38">
        <v>168933.97855845201</v>
      </c>
      <c r="J25" s="38">
        <v>173690.06626222102</v>
      </c>
      <c r="K25" s="38">
        <v>688665.23035599105</v>
      </c>
      <c r="L25" s="33"/>
      <c r="M25" s="38">
        <v>179661</v>
      </c>
      <c r="N25" s="38">
        <v>175786</v>
      </c>
      <c r="O25" s="38">
        <v>177280</v>
      </c>
      <c r="P25" s="38">
        <v>195272.22365</v>
      </c>
      <c r="Q25" s="38">
        <v>727999.22365000006</v>
      </c>
      <c r="R25" s="57"/>
      <c r="S25" s="38">
        <v>755153</v>
      </c>
    </row>
    <row r="26" spans="1:19" ht="20.25" x14ac:dyDescent="0.3">
      <c r="A26" s="35"/>
      <c r="B26" s="39" t="s">
        <v>50</v>
      </c>
      <c r="C26" s="51">
        <v>17748.804169711701</v>
      </c>
      <c r="D26" s="51">
        <v>19284.885870842798</v>
      </c>
      <c r="E26" s="33">
        <v>37033.690040554502</v>
      </c>
      <c r="F26" s="42"/>
      <c r="G26" s="51">
        <v>19996.999989517903</v>
      </c>
      <c r="H26" s="51">
        <v>21758.266674504997</v>
      </c>
      <c r="I26" s="51">
        <v>11286.445629953299</v>
      </c>
      <c r="J26" s="51">
        <v>25937.7154420076</v>
      </c>
      <c r="K26" s="33">
        <v>78979.427735983802</v>
      </c>
      <c r="L26" s="33"/>
      <c r="M26" s="51">
        <v>23193</v>
      </c>
      <c r="N26" s="51">
        <v>26735</v>
      </c>
      <c r="O26" s="51">
        <v>25105</v>
      </c>
      <c r="P26" s="51">
        <v>23567.734981639998</v>
      </c>
      <c r="Q26" s="33">
        <v>98600.734981639995</v>
      </c>
      <c r="R26" s="57"/>
      <c r="S26" s="51">
        <v>78950</v>
      </c>
    </row>
    <row r="27" spans="1:19" ht="20.25" x14ac:dyDescent="0.3">
      <c r="A27" s="35"/>
      <c r="B27" s="40" t="s">
        <v>51</v>
      </c>
      <c r="C27" s="59">
        <v>172254.13076106569</v>
      </c>
      <c r="D27" s="59">
        <v>185647.8856844948</v>
      </c>
      <c r="E27" s="59">
        <v>357902.0164455605</v>
      </c>
      <c r="F27" s="41"/>
      <c r="G27" s="59">
        <v>198168.35329951791</v>
      </c>
      <c r="H27" s="59">
        <v>189628.098899823</v>
      </c>
      <c r="I27" s="59">
        <v>180220.4241884053</v>
      </c>
      <c r="J27" s="59">
        <v>199627.78170422863</v>
      </c>
      <c r="K27" s="59">
        <v>767644.65809197491</v>
      </c>
      <c r="L27" s="33"/>
      <c r="M27" s="59">
        <v>202854</v>
      </c>
      <c r="N27" s="59">
        <v>202521</v>
      </c>
      <c r="O27" s="59">
        <v>202385</v>
      </c>
      <c r="P27" s="59">
        <v>218839.95863164001</v>
      </c>
      <c r="Q27" s="59">
        <v>826599.95863164007</v>
      </c>
      <c r="R27" s="57"/>
      <c r="S27" s="59">
        <v>834103</v>
      </c>
    </row>
    <row r="28" spans="1:19" ht="20.25" x14ac:dyDescent="0.3">
      <c r="A28" s="35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33"/>
      <c r="M28" s="41"/>
      <c r="N28" s="41"/>
      <c r="O28" s="41"/>
      <c r="P28" s="41"/>
      <c r="Q28" s="41"/>
      <c r="R28" s="57"/>
      <c r="S28" s="41"/>
    </row>
    <row r="29" spans="1:19" ht="20.25" x14ac:dyDescent="0.3">
      <c r="A29" s="35"/>
      <c r="B29" s="39" t="s">
        <v>52</v>
      </c>
      <c r="C29" s="51">
        <v>3055.39900249107</v>
      </c>
      <c r="D29" s="51">
        <v>13617.3763715928</v>
      </c>
      <c r="E29" s="33">
        <f>16672.7753740839-1</f>
        <v>16671.7753740839</v>
      </c>
      <c r="F29" s="42"/>
      <c r="G29" s="51">
        <v>2778.9999234279903</v>
      </c>
      <c r="H29" s="51">
        <v>5594.1990519825604</v>
      </c>
      <c r="I29" s="51">
        <v>3554.7094521332201</v>
      </c>
      <c r="J29" s="51">
        <v>13716.1858401106</v>
      </c>
      <c r="K29" s="33">
        <v>25644.094267654371</v>
      </c>
      <c r="L29" s="33"/>
      <c r="M29" s="51">
        <v>7174.00000000001</v>
      </c>
      <c r="N29" s="51">
        <v>9222.9999999999491</v>
      </c>
      <c r="O29" s="51">
        <v>-3425.99999999998</v>
      </c>
      <c r="P29" s="51">
        <v>19591</v>
      </c>
      <c r="Q29" s="33">
        <v>32561.999999999978</v>
      </c>
      <c r="R29" s="57"/>
      <c r="S29" s="51">
        <v>60896</v>
      </c>
    </row>
    <row r="30" spans="1:19" ht="20.25" x14ac:dyDescent="0.3">
      <c r="A30" s="35"/>
      <c r="B30" s="39" t="s">
        <v>11</v>
      </c>
      <c r="C30" s="51">
        <v>4890.3177641781995</v>
      </c>
      <c r="D30" s="51">
        <v>15728.557278308499</v>
      </c>
      <c r="E30" s="33">
        <v>20618.875042486699</v>
      </c>
      <c r="F30" s="42"/>
      <c r="G30" s="51">
        <v>10692.000047574</v>
      </c>
      <c r="H30" s="51">
        <v>8486.8979774663094</v>
      </c>
      <c r="I30" s="51">
        <v>955.88020882624403</v>
      </c>
      <c r="J30" s="51">
        <v>17822.8827545725</v>
      </c>
      <c r="K30" s="33">
        <v>37957.660988439056</v>
      </c>
      <c r="L30" s="33"/>
      <c r="M30" s="51">
        <v>5512.00000000001</v>
      </c>
      <c r="N30" s="51">
        <v>9541.9999999999491</v>
      </c>
      <c r="O30" s="51">
        <v>16564</v>
      </c>
      <c r="P30" s="51">
        <v>6564.00000000001</v>
      </c>
      <c r="Q30" s="33">
        <v>38181.999999999971</v>
      </c>
      <c r="R30" s="57"/>
      <c r="S30" s="51">
        <v>40046</v>
      </c>
    </row>
    <row r="31" spans="1:19" ht="20.25" x14ac:dyDescent="0.3">
      <c r="A31" s="35"/>
      <c r="B31" s="39" t="s">
        <v>53</v>
      </c>
      <c r="C31" s="51">
        <v>0</v>
      </c>
      <c r="D31" s="51">
        <v>0</v>
      </c>
      <c r="E31" s="51">
        <v>0</v>
      </c>
      <c r="F31" s="42"/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33"/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</row>
    <row r="32" spans="1:19" ht="20.25" x14ac:dyDescent="0.3">
      <c r="A32" s="35"/>
      <c r="B32" s="39" t="s">
        <v>54</v>
      </c>
      <c r="C32" s="51">
        <v>19349.482337912297</v>
      </c>
      <c r="D32" s="51">
        <v>15483.891420041</v>
      </c>
      <c r="E32" s="33">
        <v>34833.373757953297</v>
      </c>
      <c r="F32" s="42"/>
      <c r="G32" s="51">
        <v>34244.969109999904</v>
      </c>
      <c r="H32" s="51">
        <v>28464.069494930201</v>
      </c>
      <c r="I32" s="51">
        <v>18455.137242809698</v>
      </c>
      <c r="J32" s="51">
        <v>19841.3864888223</v>
      </c>
      <c r="K32" s="33">
        <f>101005.562336562-1</f>
        <v>101004.562336562</v>
      </c>
      <c r="L32" s="33"/>
      <c r="M32" s="51">
        <v>16144.135</v>
      </c>
      <c r="N32" s="51">
        <v>13135.245999999999</v>
      </c>
      <c r="O32" s="51">
        <v>39096</v>
      </c>
      <c r="P32" s="51">
        <v>34651.111273640199</v>
      </c>
      <c r="Q32" s="33">
        <v>103026.49227364019</v>
      </c>
      <c r="R32" s="57"/>
      <c r="S32" s="51">
        <v>84714</v>
      </c>
    </row>
    <row r="33" spans="1:19" ht="20.25" x14ac:dyDescent="0.3">
      <c r="A33" s="35"/>
      <c r="B33" s="39" t="s">
        <v>55</v>
      </c>
      <c r="C33" s="51">
        <v>1986.06502</v>
      </c>
      <c r="D33" s="51">
        <v>4181.11229</v>
      </c>
      <c r="E33" s="33">
        <v>6167.17731</v>
      </c>
      <c r="F33" s="42"/>
      <c r="G33" s="51">
        <v>4817</v>
      </c>
      <c r="H33" s="51">
        <v>7502.5616300000002</v>
      </c>
      <c r="I33" s="51">
        <v>9297.1437099999894</v>
      </c>
      <c r="J33" s="51">
        <v>6443.9671900000094</v>
      </c>
      <c r="K33" s="33">
        <v>28060.67253</v>
      </c>
      <c r="L33" s="33"/>
      <c r="M33" s="51">
        <v>4160</v>
      </c>
      <c r="N33" s="51">
        <v>6792</v>
      </c>
      <c r="O33" s="51">
        <v>8716</v>
      </c>
      <c r="P33" s="51">
        <v>6516.00000000001</v>
      </c>
      <c r="Q33" s="33">
        <v>26184.000000000011</v>
      </c>
      <c r="R33" s="57"/>
      <c r="S33" s="51">
        <v>26132.92266</v>
      </c>
    </row>
    <row r="34" spans="1:19" ht="20.25" x14ac:dyDescent="0.3">
      <c r="A34" s="34"/>
      <c r="B34" s="40" t="s">
        <v>56</v>
      </c>
      <c r="C34" s="59">
        <v>29281.264124581568</v>
      </c>
      <c r="D34" s="59">
        <v>49009.7960659077</v>
      </c>
      <c r="E34" s="59">
        <v>78291.060190489268</v>
      </c>
      <c r="F34" s="41"/>
      <c r="G34" s="59">
        <v>52530.969081001895</v>
      </c>
      <c r="H34" s="59">
        <v>50048.728154379074</v>
      </c>
      <c r="I34" s="59">
        <v>32262.870613769152</v>
      </c>
      <c r="J34" s="59">
        <v>57825.422273505406</v>
      </c>
      <c r="K34" s="59">
        <v>192667.99012265555</v>
      </c>
      <c r="L34" s="33"/>
      <c r="M34" s="59">
        <v>32990.135000000024</v>
      </c>
      <c r="N34" s="59">
        <v>38693.245999999897</v>
      </c>
      <c r="O34" s="59">
        <v>60950.000000000022</v>
      </c>
      <c r="P34" s="59">
        <v>67323.111273640228</v>
      </c>
      <c r="Q34" s="59">
        <v>199956.49227364012</v>
      </c>
      <c r="R34" s="57"/>
      <c r="S34" s="59">
        <v>211513.92266000001</v>
      </c>
    </row>
    <row r="35" spans="1:19" ht="20.25" x14ac:dyDescent="0.3">
      <c r="A35" s="34"/>
      <c r="B35" s="35"/>
      <c r="C35" s="42"/>
      <c r="D35" s="42"/>
      <c r="E35" s="42"/>
      <c r="F35" s="42"/>
      <c r="G35" s="42"/>
      <c r="H35" s="42"/>
      <c r="I35" s="42"/>
      <c r="J35" s="42"/>
      <c r="K35" s="42"/>
      <c r="L35" s="33"/>
      <c r="M35" s="42"/>
      <c r="N35" s="42"/>
      <c r="O35" s="42"/>
      <c r="P35" s="42"/>
      <c r="Q35" s="42"/>
      <c r="R35" s="57"/>
      <c r="S35" s="42"/>
    </row>
    <row r="36" spans="1:19" ht="20.25" x14ac:dyDescent="0.3">
      <c r="A36" s="43" t="s">
        <v>59</v>
      </c>
      <c r="B36" s="49"/>
      <c r="C36" s="61">
        <v>201535.39488564726</v>
      </c>
      <c r="D36" s="61">
        <v>234657.68175040249</v>
      </c>
      <c r="E36" s="61">
        <v>436193.07663604978</v>
      </c>
      <c r="F36" s="41"/>
      <c r="G36" s="61">
        <v>250699.32238051982</v>
      </c>
      <c r="H36" s="61">
        <v>239676.82705420209</v>
      </c>
      <c r="I36" s="61">
        <v>212483.29480217447</v>
      </c>
      <c r="J36" s="61">
        <v>257453.20397773403</v>
      </c>
      <c r="K36" s="61">
        <v>960312.64821463043</v>
      </c>
      <c r="L36" s="33"/>
      <c r="M36" s="61">
        <v>235844.13500000001</v>
      </c>
      <c r="N36" s="61">
        <v>241214.2459999999</v>
      </c>
      <c r="O36" s="61">
        <v>263335</v>
      </c>
      <c r="P36" s="61">
        <v>286163.06990528025</v>
      </c>
      <c r="Q36" s="61">
        <v>1026556.4509052802</v>
      </c>
      <c r="R36" s="57"/>
      <c r="S36" s="61">
        <v>1045616.92266</v>
      </c>
    </row>
    <row r="37" spans="1:19" ht="20.25" x14ac:dyDescent="0.3">
      <c r="A37" s="34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33"/>
      <c r="M37" s="42"/>
      <c r="N37" s="42"/>
      <c r="O37" s="42"/>
      <c r="P37" s="42"/>
      <c r="Q37" s="42"/>
      <c r="R37" s="57"/>
      <c r="S37" s="42"/>
    </row>
    <row r="38" spans="1:19" ht="20.25" x14ac:dyDescent="0.3">
      <c r="A38" s="34" t="s">
        <v>60</v>
      </c>
      <c r="B38" s="43"/>
      <c r="C38" s="42"/>
      <c r="D38" s="42"/>
      <c r="E38" s="42"/>
      <c r="F38" s="42"/>
      <c r="G38" s="42"/>
      <c r="H38" s="42"/>
      <c r="I38" s="42"/>
      <c r="J38" s="42"/>
      <c r="K38" s="42"/>
      <c r="L38" s="33"/>
      <c r="M38" s="42"/>
      <c r="N38" s="42"/>
      <c r="O38" s="42"/>
      <c r="P38" s="42"/>
      <c r="Q38" s="42"/>
      <c r="R38" s="57"/>
      <c r="S38" s="42"/>
    </row>
    <row r="39" spans="1:19" ht="20.25" x14ac:dyDescent="0.3">
      <c r="A39" s="43"/>
      <c r="B39" s="35" t="s">
        <v>61</v>
      </c>
      <c r="C39" s="33">
        <v>-67011.371394941205</v>
      </c>
      <c r="D39" s="33">
        <v>-53133.718501197902</v>
      </c>
      <c r="E39" s="33">
        <v>-120145.08989613911</v>
      </c>
      <c r="F39" s="42"/>
      <c r="G39" s="33">
        <v>-57847</v>
      </c>
      <c r="H39" s="33">
        <v>-49122</v>
      </c>
      <c r="I39" s="33">
        <v>-44185.8797867424</v>
      </c>
      <c r="J39" s="33">
        <v>-66440.846255504803</v>
      </c>
      <c r="K39" s="33">
        <v>-217595.7260422472</v>
      </c>
      <c r="L39" s="33"/>
      <c r="M39" s="33">
        <v>-43925.648220831601</v>
      </c>
      <c r="N39" s="33">
        <v>-48941.2196555763</v>
      </c>
      <c r="O39" s="33">
        <v>-53178</v>
      </c>
      <c r="P39" s="33">
        <v>-67792</v>
      </c>
      <c r="Q39" s="33">
        <v>-213836.86787640789</v>
      </c>
      <c r="R39" s="57"/>
      <c r="S39" s="33">
        <v>-214670</v>
      </c>
    </row>
    <row r="40" spans="1:19" ht="20.25" x14ac:dyDescent="0.3">
      <c r="A40" s="50"/>
      <c r="B40" s="39" t="s">
        <v>62</v>
      </c>
      <c r="C40" s="33">
        <v>-48866.056626668302</v>
      </c>
      <c r="D40" s="33">
        <v>-49843.001462848297</v>
      </c>
      <c r="E40" s="33">
        <v>-98709.058089516591</v>
      </c>
      <c r="F40" s="51"/>
      <c r="G40" s="33">
        <v>-48773.303496039996</v>
      </c>
      <c r="H40" s="33">
        <v>-48992.424363265498</v>
      </c>
      <c r="I40" s="33">
        <v>-45087.589175604204</v>
      </c>
      <c r="J40" s="33">
        <v>-45532.668212638302</v>
      </c>
      <c r="K40" s="33">
        <v>-188385.985247548</v>
      </c>
      <c r="L40" s="52"/>
      <c r="M40" s="33">
        <v>-50595</v>
      </c>
      <c r="N40" s="33">
        <v>-48527</v>
      </c>
      <c r="O40" s="33">
        <v>-49097</v>
      </c>
      <c r="P40" s="33">
        <v>-49046.999999999796</v>
      </c>
      <c r="Q40" s="33">
        <v>-197265.9999999998</v>
      </c>
      <c r="R40" s="57"/>
      <c r="S40" s="33">
        <v>-201323.56673059601</v>
      </c>
    </row>
    <row r="41" spans="1:19" ht="20.25" x14ac:dyDescent="0.3">
      <c r="A41" s="50"/>
      <c r="B41" s="39" t="s">
        <v>63</v>
      </c>
      <c r="C41" s="33">
        <v>0</v>
      </c>
      <c r="D41" s="33">
        <v>-19030.980940634199</v>
      </c>
      <c r="E41" s="33">
        <v>-19030.980940634199</v>
      </c>
      <c r="F41" s="42"/>
      <c r="G41" s="33">
        <v>0</v>
      </c>
      <c r="H41" s="33">
        <v>979.85128417971407</v>
      </c>
      <c r="I41" s="33">
        <v>0</v>
      </c>
      <c r="J41" s="33">
        <v>-18156.778319342597</v>
      </c>
      <c r="K41" s="33">
        <v>-17176.927035162884</v>
      </c>
      <c r="L41" s="33"/>
      <c r="M41" s="33">
        <v>-20433.685000000001</v>
      </c>
      <c r="N41" s="33">
        <v>-5431.7830000000004</v>
      </c>
      <c r="O41" s="33">
        <v>-18551.741999999998</v>
      </c>
      <c r="P41" s="33">
        <v>-74213.301000000196</v>
      </c>
      <c r="Q41" s="33">
        <v>-118630.5110000002</v>
      </c>
      <c r="R41" s="57"/>
      <c r="S41" s="33">
        <v>-170632.41252144598</v>
      </c>
    </row>
    <row r="42" spans="1:19" ht="20.25" x14ac:dyDescent="0.3">
      <c r="A42" s="50"/>
      <c r="B42" s="39" t="s">
        <v>64</v>
      </c>
      <c r="C42" s="33">
        <v>0</v>
      </c>
      <c r="D42" s="33">
        <v>0</v>
      </c>
      <c r="E42" s="33">
        <v>0</v>
      </c>
      <c r="F42" s="42"/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/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57"/>
      <c r="S42" s="33">
        <v>0</v>
      </c>
    </row>
    <row r="43" spans="1:19" ht="20.25" x14ac:dyDescent="0.3">
      <c r="A43" s="43"/>
      <c r="B43" s="43"/>
      <c r="C43" s="53"/>
      <c r="D43" s="53"/>
      <c r="E43" s="53"/>
      <c r="F43" s="53"/>
      <c r="G43" s="53"/>
      <c r="H43" s="53"/>
      <c r="I43" s="53"/>
      <c r="J43" s="53"/>
      <c r="K43" s="53"/>
      <c r="L43" s="33"/>
      <c r="M43" s="53"/>
      <c r="N43" s="53"/>
      <c r="O43" s="53"/>
      <c r="P43" s="53"/>
      <c r="Q43" s="53"/>
      <c r="R43" s="57"/>
      <c r="S43" s="53"/>
    </row>
    <row r="44" spans="1:19" ht="21" thickBot="1" x14ac:dyDescent="0.35">
      <c r="A44" s="77" t="s">
        <v>65</v>
      </c>
      <c r="B44" s="78"/>
      <c r="C44" s="63">
        <f>85657.9668640377-1</f>
        <v>85656.966864037706</v>
      </c>
      <c r="D44" s="63">
        <f>112649.980845722-1</f>
        <v>112648.98084572201</v>
      </c>
      <c r="E44" s="63">
        <f>198307.94770976-2</f>
        <v>198305.94770975999</v>
      </c>
      <c r="F44" s="41"/>
      <c r="G44" s="63">
        <v>144079.01888447982</v>
      </c>
      <c r="H44" s="63">
        <f>142542.253975116+1</f>
        <v>142543.25397511601</v>
      </c>
      <c r="I44" s="63">
        <f>123209.825839828-1</f>
        <v>123208.825839828</v>
      </c>
      <c r="J44" s="63">
        <f>127322.911190248-1</f>
        <v>127321.91119024801</v>
      </c>
      <c r="K44" s="63">
        <f>537154.009889672-1</f>
        <v>537153.00988967204</v>
      </c>
      <c r="L44" s="33"/>
      <c r="M44" s="63">
        <v>120889.80177916843</v>
      </c>
      <c r="N44" s="63">
        <v>138314.24334442359</v>
      </c>
      <c r="O44" s="63">
        <v>142508.258</v>
      </c>
      <c r="P44" s="63">
        <v>95110.76890528026</v>
      </c>
      <c r="Q44" s="63">
        <v>496823.07202887232</v>
      </c>
      <c r="R44" s="57"/>
      <c r="S44" s="63">
        <f>458990.943407958-1</f>
        <v>458989.94340795802</v>
      </c>
    </row>
    <row r="45" spans="1:19" ht="13.5" thickTop="1" x14ac:dyDescent="0.2"/>
    <row r="46" spans="1:19" ht="20.25" x14ac:dyDescent="0.3">
      <c r="B46" s="54" t="s">
        <v>66</v>
      </c>
    </row>
    <row r="47" spans="1:19" ht="20.25" x14ac:dyDescent="0.3">
      <c r="B47" s="54" t="s">
        <v>67</v>
      </c>
    </row>
    <row r="48" spans="1:19" ht="20.25" x14ac:dyDescent="0.3">
      <c r="B48" s="54" t="s">
        <v>69</v>
      </c>
    </row>
  </sheetData>
  <mergeCells count="1">
    <mergeCell ref="A44:B44"/>
  </mergeCells>
  <printOptions horizontalCentered="1"/>
  <pageMargins left="0.25" right="0.25" top="0.5" bottom="0.5" header="0.3" footer="0.25"/>
  <pageSetup paperSize="3" scale="57" orientation="landscape" verticalDpi="0" r:id="rId1"/>
  <headerFooter>
    <oddFooter>&amp;L&amp;Z&amp;F&amp;R&amp;T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Reclassification Statement</vt:lpstr>
      <vt:lpstr>Consolid Statements of Income</vt:lpstr>
      <vt:lpstr>Segments</vt:lpstr>
      <vt:lpstr>'Reclassification Statement'!Print_Area</vt:lpstr>
      <vt:lpstr>Segments!Print_Area</vt:lpstr>
    </vt:vector>
  </TitlesOfParts>
  <Company>Pitney Bowes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June M. Vecellio</cp:lastModifiedBy>
  <cp:lastPrinted>2013-08-08T16:36:29Z</cp:lastPrinted>
  <dcterms:created xsi:type="dcterms:W3CDTF">2013-07-30T17:16:43Z</dcterms:created>
  <dcterms:modified xsi:type="dcterms:W3CDTF">2013-08-08T18:42:26Z</dcterms:modified>
</cp:coreProperties>
</file>